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55TH STREET CENTER\5\Data1\DEO ENERGY CHOICE\2025-2026 Auction\Revised Files to be Uploaded After Enbridge Edits\"/>
    </mc:Choice>
  </mc:AlternateContent>
  <xr:revisionPtr revIDLastSave="0" documentId="8_{D19C5C52-2085-480C-89F4-96648FF9E326}" xr6:coauthVersionLast="47" xr6:coauthVersionMax="47" xr10:uidLastSave="{00000000-0000-0000-0000-000000000000}"/>
  <bookViews>
    <workbookView xWindow="435" yWindow="0" windowWidth="28095" windowHeight="15600" tabRatio="978" xr2:uid="{1C43E9E3-5D25-4F5C-AD00-D29B3A819A36}"/>
  </bookViews>
  <sheets>
    <sheet name="SSO historical customer count" sheetId="11" r:id="rId1"/>
    <sheet name="SCO historical customer count" sheetId="1" r:id="rId2"/>
    <sheet name="Weather normal east" sheetId="4" r:id="rId3"/>
    <sheet name="Weather normal west" sheetId="8" r:id="rId4"/>
    <sheet name="SCO factors - east Ohio" sheetId="5" r:id="rId5"/>
    <sheet name="SCO factors - west Ohio" sheetId="6" r:id="rId6"/>
    <sheet name="SSO factors - east Ohio" sheetId="12" r:id="rId7"/>
    <sheet name="SSO factors - west Ohio" sheetId="13" r:id="rId8"/>
  </sheets>
  <definedNames>
    <definedName name="_xlnm._FilterDatabase" localSheetId="2" hidden="1">'Weather normal east'!$A$4:$M$36</definedName>
    <definedName name="_xlnm.Print_Area" localSheetId="2">'Weather normal east'!$A$2:$M$38</definedName>
    <definedName name="_xlnm.Print_Area" localSheetId="3">'Weather normal west'!$A$2:$M$38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7" i="1" l="1"/>
  <c r="D227" i="1"/>
  <c r="E227" i="1"/>
  <c r="B227" i="1"/>
  <c r="D227" i="11"/>
  <c r="E227" i="11"/>
  <c r="F214" i="11" l="1"/>
  <c r="F215" i="11"/>
  <c r="F216" i="11"/>
  <c r="F217" i="11"/>
  <c r="F218" i="11"/>
  <c r="F219" i="11"/>
  <c r="F220" i="11"/>
  <c r="F221" i="11"/>
  <c r="F222" i="11"/>
  <c r="I214" i="1"/>
  <c r="I215" i="1"/>
  <c r="I216" i="1"/>
  <c r="I217" i="1"/>
  <c r="I218" i="1"/>
  <c r="I219" i="1"/>
  <c r="I220" i="1"/>
  <c r="I221" i="1"/>
  <c r="I222" i="1"/>
  <c r="F214" i="1"/>
  <c r="F215" i="1"/>
  <c r="F216" i="1"/>
  <c r="F217" i="1"/>
  <c r="F218" i="1"/>
  <c r="F219" i="1"/>
  <c r="F220" i="1"/>
  <c r="F221" i="1"/>
  <c r="F222" i="1"/>
  <c r="I212" i="1"/>
  <c r="I213" i="1"/>
  <c r="C212" i="11"/>
  <c r="C227" i="11" s="1"/>
  <c r="B212" i="11"/>
  <c r="B227" i="11" s="1"/>
  <c r="F227" i="11" s="1"/>
  <c r="F213" i="1" l="1"/>
  <c r="F212" i="1"/>
  <c r="F227" i="1" l="1"/>
  <c r="E24" i="13" l="1"/>
  <c r="F211" i="11" l="1"/>
  <c r="F211" i="1"/>
  <c r="H170" i="1"/>
  <c r="H160" i="1"/>
  <c r="H145" i="1"/>
  <c r="I211" i="1"/>
  <c r="K222" i="1" l="1"/>
  <c r="F202" i="11" l="1"/>
  <c r="F203" i="11"/>
  <c r="F204" i="11"/>
  <c r="F205" i="11"/>
  <c r="F206" i="11"/>
  <c r="F207" i="11"/>
  <c r="F208" i="11"/>
  <c r="F209" i="11"/>
  <c r="F210" i="11"/>
  <c r="F212" i="11"/>
  <c r="F213" i="11"/>
  <c r="I202" i="1" l="1"/>
  <c r="I203" i="1"/>
  <c r="I204" i="1"/>
  <c r="I205" i="1"/>
  <c r="I206" i="1"/>
  <c r="I207" i="1"/>
  <c r="I208" i="1"/>
  <c r="I209" i="1"/>
  <c r="I210" i="1"/>
  <c r="F210" i="1"/>
  <c r="F209" i="1"/>
  <c r="F208" i="1"/>
  <c r="F207" i="1"/>
  <c r="F206" i="1"/>
  <c r="K219" i="1" l="1"/>
  <c r="K218" i="1"/>
  <c r="K220" i="1"/>
  <c r="K217" i="1"/>
  <c r="K221" i="1"/>
  <c r="F205" i="1"/>
  <c r="F204" i="1"/>
  <c r="F203" i="1"/>
  <c r="F202" i="1"/>
  <c r="K214" i="1" l="1"/>
  <c r="K215" i="1"/>
  <c r="K216" i="1"/>
  <c r="K213" i="1"/>
  <c r="I200" i="1" l="1"/>
  <c r="I201" i="1"/>
  <c r="F191" i="11" l="1"/>
  <c r="F192" i="11"/>
  <c r="F193" i="11"/>
  <c r="F194" i="11"/>
  <c r="F195" i="11"/>
  <c r="F197" i="11"/>
  <c r="F198" i="11"/>
  <c r="F199" i="11"/>
  <c r="F200" i="11"/>
  <c r="F196" i="11" l="1"/>
  <c r="F190" i="11" l="1"/>
  <c r="F201" i="11"/>
  <c r="I199" i="1" l="1"/>
  <c r="I190" i="1"/>
  <c r="I191" i="1"/>
  <c r="I192" i="1"/>
  <c r="I193" i="1"/>
  <c r="I194" i="1"/>
  <c r="I195" i="1"/>
  <c r="I196" i="1"/>
  <c r="I197" i="1"/>
  <c r="I198" i="1"/>
  <c r="F190" i="1" l="1"/>
  <c r="F191" i="1"/>
  <c r="F192" i="1"/>
  <c r="F193" i="1"/>
  <c r="F194" i="1"/>
  <c r="F195" i="1"/>
  <c r="F196" i="1"/>
  <c r="F197" i="1"/>
  <c r="F198" i="1"/>
  <c r="F199" i="1"/>
  <c r="F200" i="1"/>
  <c r="F201" i="1"/>
  <c r="K212" i="1" l="1"/>
  <c r="K211" i="1"/>
  <c r="K208" i="1"/>
  <c r="K207" i="1"/>
  <c r="K205" i="1"/>
  <c r="K202" i="1"/>
  <c r="K210" i="1"/>
  <c r="K209" i="1"/>
  <c r="K206" i="1"/>
  <c r="K204" i="1"/>
  <c r="K203" i="1"/>
  <c r="K201" i="1"/>
  <c r="K18" i="5"/>
  <c r="L18" i="5" l="1"/>
  <c r="M9" i="5"/>
  <c r="M10" i="5"/>
  <c r="M13" i="5"/>
  <c r="M14" i="5"/>
  <c r="M17" i="5"/>
  <c r="M6" i="5"/>
  <c r="M7" i="5"/>
  <c r="M8" i="5"/>
  <c r="M11" i="5"/>
  <c r="M12" i="5"/>
  <c r="M15" i="5"/>
  <c r="M16" i="5"/>
  <c r="J11" i="5" l="1"/>
  <c r="J9" i="5" l="1"/>
  <c r="J13" i="5"/>
  <c r="J12" i="5"/>
  <c r="J14" i="5"/>
  <c r="J8" i="5"/>
  <c r="J10" i="5"/>
  <c r="J7" i="5" l="1"/>
  <c r="J15" i="5"/>
  <c r="F189" i="11" l="1"/>
  <c r="J6" i="5" l="1"/>
  <c r="I188" i="1"/>
  <c r="I189" i="1"/>
  <c r="F189" i="1" l="1"/>
  <c r="F188" i="1"/>
  <c r="K200" i="1" l="1"/>
  <c r="K199" i="1"/>
  <c r="J17" i="5"/>
  <c r="F187" i="1" l="1"/>
  <c r="K198" i="1" s="1"/>
  <c r="F186" i="1" l="1"/>
  <c r="K197" i="1" s="1"/>
  <c r="J16" i="5" l="1"/>
  <c r="J18" i="5" s="1"/>
  <c r="I187" i="1"/>
  <c r="F186" i="11" l="1"/>
  <c r="F185" i="1"/>
  <c r="K196" i="1" s="1"/>
  <c r="F184" i="1"/>
  <c r="F183" i="1"/>
  <c r="K194" i="1" l="1"/>
  <c r="K195" i="1"/>
  <c r="E34" i="13"/>
  <c r="E33" i="13"/>
  <c r="E32" i="13"/>
  <c r="E31" i="13"/>
  <c r="E30" i="13"/>
  <c r="E29" i="13"/>
  <c r="E28" i="13"/>
  <c r="E27" i="13"/>
  <c r="E26" i="13"/>
  <c r="E25" i="13"/>
  <c r="E23" i="13"/>
  <c r="E35" i="13" s="1"/>
  <c r="E18" i="13"/>
  <c r="E34" i="12"/>
  <c r="E33" i="12"/>
  <c r="E32" i="12"/>
  <c r="E31" i="12"/>
  <c r="E30" i="12"/>
  <c r="E29" i="12"/>
  <c r="E28" i="12"/>
  <c r="E27" i="12"/>
  <c r="E26" i="12"/>
  <c r="E25" i="12"/>
  <c r="E24" i="12"/>
  <c r="E23" i="12"/>
  <c r="E18" i="12"/>
  <c r="E34" i="6"/>
  <c r="E33" i="6"/>
  <c r="E32" i="6"/>
  <c r="E31" i="6"/>
  <c r="E30" i="6"/>
  <c r="E29" i="6"/>
  <c r="E28" i="6"/>
  <c r="E27" i="6"/>
  <c r="E26" i="6"/>
  <c r="E25" i="6"/>
  <c r="E24" i="6"/>
  <c r="E23" i="6"/>
  <c r="E18" i="6"/>
  <c r="E34" i="5"/>
  <c r="E33" i="5"/>
  <c r="E32" i="5"/>
  <c r="E31" i="5"/>
  <c r="E30" i="5"/>
  <c r="E29" i="5"/>
  <c r="E28" i="5"/>
  <c r="E27" i="5"/>
  <c r="E26" i="5"/>
  <c r="E25" i="5"/>
  <c r="E24" i="5"/>
  <c r="E23" i="5"/>
  <c r="E18" i="5"/>
  <c r="F36" i="8"/>
  <c r="J36" i="4"/>
  <c r="F10" i="6" l="1"/>
  <c r="F27" i="6" s="1"/>
  <c r="F10" i="13"/>
  <c r="F27" i="13" s="1"/>
  <c r="F14" i="12"/>
  <c r="F31" i="12" s="1"/>
  <c r="E35" i="12"/>
  <c r="E35" i="6"/>
  <c r="F14" i="5"/>
  <c r="F31" i="5" s="1"/>
  <c r="F184" i="11" l="1"/>
  <c r="F185" i="11"/>
  <c r="F187" i="11"/>
  <c r="F188" i="11"/>
  <c r="F181" i="11"/>
  <c r="F182" i="11"/>
  <c r="F183" i="11"/>
  <c r="F180" i="11" l="1"/>
  <c r="F182" i="1" l="1"/>
  <c r="K193" i="1" s="1"/>
  <c r="F181" i="1"/>
  <c r="K192" i="1" s="1"/>
  <c r="F180" i="1"/>
  <c r="K191" i="1" l="1"/>
  <c r="F179" i="1"/>
  <c r="K190" i="1" s="1"/>
  <c r="F178" i="1"/>
  <c r="K189" i="1" l="1"/>
  <c r="F178" i="11"/>
  <c r="F179" i="11"/>
  <c r="F177" i="11"/>
  <c r="F177" i="1" l="1"/>
  <c r="K188" i="1" s="1"/>
  <c r="H175" i="1" l="1"/>
  <c r="I186" i="1" l="1"/>
  <c r="H167" i="1"/>
  <c r="H174" i="1"/>
  <c r="H173" i="1"/>
  <c r="I184" i="1" s="1"/>
  <c r="H172" i="1"/>
  <c r="H171" i="1"/>
  <c r="H169" i="1"/>
  <c r="I182" i="1" l="1"/>
  <c r="I183" i="1"/>
  <c r="I185" i="1"/>
  <c r="I181" i="1"/>
  <c r="I180" i="1"/>
  <c r="H168" i="1" l="1"/>
  <c r="I179" i="1" l="1"/>
  <c r="I178" i="1"/>
  <c r="H166" i="1"/>
  <c r="I177" i="1" s="1"/>
  <c r="H165" i="1"/>
  <c r="H164" i="1"/>
  <c r="H152" i="1"/>
  <c r="I175" i="1" l="1"/>
  <c r="I176" i="1"/>
  <c r="G14" i="5"/>
  <c r="G31" i="5"/>
  <c r="E35" i="5"/>
  <c r="G31" i="12" l="1"/>
  <c r="G14" i="12"/>
  <c r="G10" i="6"/>
  <c r="F174" i="1" l="1"/>
  <c r="F175" i="1"/>
  <c r="F166" i="1"/>
  <c r="F168" i="1"/>
  <c r="F170" i="1"/>
  <c r="F171" i="1"/>
  <c r="F172" i="1"/>
  <c r="F173" i="1"/>
  <c r="F176" i="1"/>
  <c r="K187" i="1" l="1"/>
  <c r="K183" i="1"/>
  <c r="K185" i="1"/>
  <c r="K184" i="1"/>
  <c r="K186" i="1"/>
  <c r="K181" i="1"/>
  <c r="K182" i="1"/>
  <c r="F169" i="1"/>
  <c r="K180" i="1" s="1"/>
  <c r="K179" i="1" l="1"/>
  <c r="F167" i="1"/>
  <c r="K177" i="1" l="1"/>
  <c r="K178" i="1"/>
  <c r="F165" i="1"/>
  <c r="K176" i="1" s="1"/>
  <c r="F163" i="11" l="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64" i="1" l="1"/>
  <c r="K175" i="1" s="1"/>
  <c r="F162" i="11" l="1"/>
  <c r="F161" i="11"/>
  <c r="F160" i="11"/>
  <c r="F159" i="11"/>
  <c r="F158" i="11"/>
  <c r="F157" i="11"/>
  <c r="F156" i="11"/>
  <c r="F155" i="11"/>
  <c r="F154" i="11"/>
  <c r="F153" i="11"/>
  <c r="F152" i="11"/>
  <c r="H163" i="1" l="1"/>
  <c r="H161" i="1"/>
  <c r="H162" i="1"/>
  <c r="H159" i="1"/>
  <c r="H158" i="1"/>
  <c r="H157" i="1"/>
  <c r="I171" i="1" l="1"/>
  <c r="I173" i="1"/>
  <c r="I172" i="1"/>
  <c r="I174" i="1"/>
  <c r="I168" i="1"/>
  <c r="I169" i="1"/>
  <c r="I170" i="1"/>
  <c r="H156" i="1"/>
  <c r="H155" i="1"/>
  <c r="H154" i="1"/>
  <c r="I165" i="1" l="1"/>
  <c r="I166" i="1"/>
  <c r="I167" i="1"/>
  <c r="F163" i="1"/>
  <c r="K174" i="1" s="1"/>
  <c r="F162" i="1"/>
  <c r="F161" i="1"/>
  <c r="F160" i="1"/>
  <c r="F159" i="1"/>
  <c r="F158" i="1"/>
  <c r="F157" i="1"/>
  <c r="F156" i="1"/>
  <c r="F155" i="1"/>
  <c r="F154" i="1"/>
  <c r="F153" i="1"/>
  <c r="F152" i="1"/>
  <c r="K167" i="1" l="1"/>
  <c r="K173" i="1"/>
  <c r="K171" i="1"/>
  <c r="K172" i="1"/>
  <c r="K164" i="1"/>
  <c r="K168" i="1"/>
  <c r="K165" i="1"/>
  <c r="K169" i="1"/>
  <c r="K166" i="1"/>
  <c r="K170" i="1"/>
  <c r="K163" i="1"/>
  <c r="H153" i="1" l="1"/>
  <c r="I164" i="1" l="1"/>
  <c r="I163" i="1"/>
  <c r="F151" i="11" l="1"/>
  <c r="F150" i="11"/>
  <c r="F149" i="11"/>
  <c r="F148" i="11"/>
  <c r="F147" i="11"/>
  <c r="F146" i="11"/>
  <c r="F145" i="11"/>
  <c r="F144" i="11"/>
  <c r="F143" i="11"/>
  <c r="F142" i="11"/>
  <c r="F151" i="1" l="1"/>
  <c r="K162" i="1" s="1"/>
  <c r="F150" i="1"/>
  <c r="K161" i="1" s="1"/>
  <c r="F149" i="1"/>
  <c r="F148" i="1"/>
  <c r="F147" i="1"/>
  <c r="F146" i="1"/>
  <c r="F145" i="1"/>
  <c r="F144" i="1"/>
  <c r="F143" i="1"/>
  <c r="F142" i="1"/>
  <c r="K159" i="1" l="1"/>
  <c r="K160" i="1"/>
  <c r="K155" i="1"/>
  <c r="K156" i="1"/>
  <c r="K157" i="1"/>
  <c r="K154" i="1"/>
  <c r="K158" i="1"/>
  <c r="K153" i="1"/>
  <c r="H151" i="1"/>
  <c r="H150" i="1"/>
  <c r="H149" i="1"/>
  <c r="H148" i="1"/>
  <c r="H147" i="1"/>
  <c r="H146" i="1"/>
  <c r="H144" i="1"/>
  <c r="H141" i="1"/>
  <c r="H143" i="1"/>
  <c r="H142" i="1"/>
  <c r="I161" i="1" l="1"/>
  <c r="I154" i="1"/>
  <c r="I157" i="1"/>
  <c r="I158" i="1"/>
  <c r="I162" i="1"/>
  <c r="I155" i="1"/>
  <c r="I159" i="1"/>
  <c r="I156" i="1"/>
  <c r="I160" i="1"/>
  <c r="I153" i="1"/>
  <c r="I152" i="1"/>
  <c r="F141" i="11"/>
  <c r="F140" i="11" l="1"/>
  <c r="H140" i="1" l="1"/>
  <c r="I151" i="1" s="1"/>
  <c r="F139" i="11" l="1"/>
  <c r="F138" i="11"/>
  <c r="F137" i="11"/>
  <c r="F136" i="11"/>
  <c r="F135" i="11"/>
  <c r="F134" i="11"/>
  <c r="F133" i="11"/>
  <c r="F132" i="11"/>
  <c r="F131" i="11"/>
  <c r="F130" i="11"/>
  <c r="H139" i="1" l="1"/>
  <c r="H138" i="1"/>
  <c r="H137" i="1"/>
  <c r="H136" i="1"/>
  <c r="H135" i="1"/>
  <c r="H134" i="1"/>
  <c r="H133" i="1"/>
  <c r="H132" i="1"/>
  <c r="H131" i="1"/>
  <c r="H130" i="1"/>
  <c r="H129" i="1"/>
  <c r="H128" i="1"/>
  <c r="F141" i="1"/>
  <c r="K152" i="1" s="1"/>
  <c r="F140" i="1"/>
  <c r="F139" i="1"/>
  <c r="F138" i="1"/>
  <c r="F137" i="1"/>
  <c r="F136" i="1"/>
  <c r="F135" i="1"/>
  <c r="F134" i="1"/>
  <c r="F133" i="1"/>
  <c r="F132" i="1"/>
  <c r="F131" i="1"/>
  <c r="F130" i="1"/>
  <c r="I143" i="1" l="1"/>
  <c r="I147" i="1"/>
  <c r="I144" i="1"/>
  <c r="I148" i="1"/>
  <c r="I141" i="1"/>
  <c r="I145" i="1"/>
  <c r="I149" i="1"/>
  <c r="I142" i="1"/>
  <c r="I146" i="1"/>
  <c r="I150" i="1"/>
  <c r="K151" i="1"/>
  <c r="K147" i="1"/>
  <c r="K143" i="1"/>
  <c r="K146" i="1"/>
  <c r="K142" i="1"/>
  <c r="K149" i="1"/>
  <c r="K141" i="1"/>
  <c r="K150" i="1"/>
  <c r="K145" i="1"/>
  <c r="K148" i="1"/>
  <c r="K144" i="1"/>
  <c r="I139" i="1"/>
  <c r="I140" i="1"/>
  <c r="F129" i="11"/>
  <c r="F128" i="11" l="1"/>
  <c r="F129" i="1" l="1"/>
  <c r="K140" i="1" s="1"/>
  <c r="F128" i="1"/>
  <c r="K139" i="1" l="1"/>
  <c r="H127" i="1"/>
  <c r="H126" i="1"/>
  <c r="H124" i="1"/>
  <c r="H125" i="1"/>
  <c r="I136" i="1" s="1"/>
  <c r="I135" i="1" l="1"/>
  <c r="I137" i="1"/>
  <c r="I138" i="1"/>
  <c r="F127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" l="1"/>
  <c r="K138" i="1" s="1"/>
  <c r="F126" i="1"/>
  <c r="F125" i="1"/>
  <c r="F124" i="1"/>
  <c r="F123" i="1"/>
  <c r="F122" i="1"/>
  <c r="F121" i="1"/>
  <c r="F120" i="1"/>
  <c r="F119" i="1"/>
  <c r="F118" i="1"/>
  <c r="K131" i="1" l="1"/>
  <c r="K136" i="1"/>
  <c r="K137" i="1"/>
  <c r="K135" i="1"/>
  <c r="K132" i="1"/>
  <c r="K129" i="1"/>
  <c r="K133" i="1"/>
  <c r="K130" i="1"/>
  <c r="K134" i="1"/>
  <c r="H123" i="1"/>
  <c r="H122" i="1"/>
  <c r="I133" i="1" l="1"/>
  <c r="I134" i="1"/>
  <c r="H121" i="1"/>
  <c r="H120" i="1"/>
  <c r="H119" i="1"/>
  <c r="H118" i="1"/>
  <c r="H117" i="1"/>
  <c r="H116" i="1"/>
  <c r="H115" i="1"/>
  <c r="I129" i="1" l="1"/>
  <c r="I130" i="1"/>
  <c r="I131" i="1"/>
  <c r="I128" i="1"/>
  <c r="I132" i="1"/>
  <c r="I126" i="1"/>
  <c r="I127" i="1"/>
  <c r="F117" i="1"/>
  <c r="K128" i="1" s="1"/>
  <c r="F116" i="1"/>
  <c r="K127" i="1" s="1"/>
  <c r="F115" i="1"/>
  <c r="K126" i="1" l="1"/>
  <c r="D36" i="4" l="1"/>
  <c r="F8" i="12" l="1"/>
  <c r="F8" i="5"/>
  <c r="F109" i="11"/>
  <c r="F108" i="11"/>
  <c r="F107" i="11"/>
  <c r="F106" i="11"/>
  <c r="F105" i="11"/>
  <c r="F104" i="11"/>
  <c r="F103" i="11"/>
  <c r="F25" i="5" l="1"/>
  <c r="G25" i="5" s="1"/>
  <c r="G8" i="5"/>
  <c r="F25" i="12"/>
  <c r="G25" i="12" s="1"/>
  <c r="G8" i="12"/>
  <c r="F114" i="1"/>
  <c r="K125" i="1" s="1"/>
  <c r="F113" i="1"/>
  <c r="F112" i="1"/>
  <c r="F111" i="1"/>
  <c r="F110" i="1"/>
  <c r="F109" i="1"/>
  <c r="F108" i="1"/>
  <c r="F107" i="1"/>
  <c r="F106" i="1"/>
  <c r="F105" i="1"/>
  <c r="F104" i="1"/>
  <c r="F103" i="1"/>
  <c r="K118" i="1" l="1"/>
  <c r="K123" i="1"/>
  <c r="K122" i="1"/>
  <c r="K124" i="1"/>
  <c r="K114" i="1"/>
  <c r="K115" i="1"/>
  <c r="K119" i="1"/>
  <c r="K116" i="1"/>
  <c r="K120" i="1"/>
  <c r="K117" i="1"/>
  <c r="K121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F102" i="11"/>
  <c r="F101" i="11"/>
  <c r="F100" i="11"/>
  <c r="F99" i="11"/>
  <c r="F98" i="11"/>
  <c r="F97" i="11"/>
  <c r="F96" i="11"/>
  <c r="F95" i="11"/>
  <c r="F94" i="11"/>
  <c r="I119" i="1" l="1"/>
  <c r="I124" i="1"/>
  <c r="I118" i="1"/>
  <c r="I120" i="1"/>
  <c r="I125" i="1"/>
  <c r="I116" i="1"/>
  <c r="I122" i="1"/>
  <c r="I117" i="1"/>
  <c r="I123" i="1"/>
  <c r="I115" i="1"/>
  <c r="I121" i="1"/>
  <c r="I114" i="1"/>
  <c r="F102" i="1" l="1"/>
  <c r="K113" i="1" s="1"/>
  <c r="F101" i="1"/>
  <c r="F100" i="1"/>
  <c r="F99" i="1"/>
  <c r="F98" i="1"/>
  <c r="F97" i="1"/>
  <c r="F96" i="1"/>
  <c r="F95" i="1"/>
  <c r="F94" i="1"/>
  <c r="K110" i="1" l="1"/>
  <c r="K111" i="1"/>
  <c r="K112" i="1"/>
  <c r="K109" i="1"/>
  <c r="H102" i="1"/>
  <c r="H101" i="1"/>
  <c r="H100" i="1"/>
  <c r="H99" i="1"/>
  <c r="H98" i="1"/>
  <c r="I109" i="1" s="1"/>
  <c r="H97" i="1"/>
  <c r="H96" i="1"/>
  <c r="H95" i="1"/>
  <c r="H94" i="1"/>
  <c r="H93" i="1"/>
  <c r="H92" i="1"/>
  <c r="H91" i="1"/>
  <c r="H90" i="1"/>
  <c r="F93" i="11"/>
  <c r="F92" i="11"/>
  <c r="F91" i="11"/>
  <c r="F90" i="11"/>
  <c r="I101" i="1" l="1"/>
  <c r="I105" i="1"/>
  <c r="I113" i="1"/>
  <c r="I106" i="1"/>
  <c r="I110" i="1"/>
  <c r="I103" i="1"/>
  <c r="I107" i="1"/>
  <c r="I111" i="1"/>
  <c r="I104" i="1"/>
  <c r="I108" i="1"/>
  <c r="I112" i="1"/>
  <c r="I102" i="1"/>
  <c r="F93" i="1"/>
  <c r="F92" i="1"/>
  <c r="F91" i="1"/>
  <c r="F90" i="1"/>
  <c r="G27" i="6" l="1"/>
  <c r="I83" i="1" l="1"/>
  <c r="I82" i="1"/>
  <c r="I81" i="1"/>
  <c r="I80" i="1"/>
  <c r="I79" i="1"/>
  <c r="H89" i="1"/>
  <c r="H88" i="1"/>
  <c r="H87" i="1"/>
  <c r="H86" i="1"/>
  <c r="H84" i="1"/>
  <c r="I99" i="1" l="1"/>
  <c r="I95" i="1"/>
  <c r="I92" i="1"/>
  <c r="I91" i="1"/>
  <c r="I94" i="1"/>
  <c r="I90" i="1"/>
  <c r="I93" i="1"/>
  <c r="I100" i="1"/>
  <c r="I97" i="1"/>
  <c r="I96" i="1"/>
  <c r="I88" i="1"/>
  <c r="I98" i="1"/>
  <c r="I84" i="1"/>
  <c r="I87" i="1"/>
  <c r="I89" i="1"/>
  <c r="I86" i="1"/>
  <c r="I85" i="1"/>
  <c r="F89" i="11"/>
  <c r="F88" i="11"/>
  <c r="F87" i="11"/>
  <c r="F86" i="11"/>
  <c r="F85" i="11"/>
  <c r="F84" i="11"/>
  <c r="F83" i="11"/>
  <c r="F82" i="11"/>
  <c r="F81" i="11"/>
  <c r="F80" i="11"/>
  <c r="F79" i="11"/>
  <c r="F89" i="1" l="1"/>
  <c r="F88" i="1"/>
  <c r="F87" i="1"/>
  <c r="F86" i="1"/>
  <c r="F85" i="1"/>
  <c r="F84" i="1"/>
  <c r="F83" i="1"/>
  <c r="F82" i="1"/>
  <c r="F81" i="1"/>
  <c r="F80" i="1"/>
  <c r="F79" i="1"/>
  <c r="F78" i="11" l="1"/>
  <c r="F67" i="11" l="1"/>
  <c r="F77" i="11"/>
  <c r="F76" i="11"/>
  <c r="F75" i="11"/>
  <c r="F74" i="11"/>
  <c r="F73" i="11"/>
  <c r="F72" i="11"/>
  <c r="F71" i="11"/>
  <c r="F70" i="11"/>
  <c r="F69" i="11"/>
  <c r="F68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39" i="11"/>
  <c r="F38" i="11"/>
  <c r="F37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I78" i="1" l="1"/>
  <c r="I77" i="1"/>
  <c r="I76" i="1"/>
  <c r="I75" i="1"/>
  <c r="I74" i="1"/>
  <c r="I73" i="1"/>
  <c r="I72" i="1"/>
  <c r="I71" i="1"/>
  <c r="I70" i="1"/>
  <c r="I69" i="1"/>
  <c r="I68" i="1"/>
  <c r="I67" i="1"/>
  <c r="F78" i="1" l="1"/>
  <c r="F77" i="1"/>
  <c r="F76" i="1"/>
  <c r="F75" i="1"/>
  <c r="F74" i="1"/>
  <c r="F73" i="1"/>
  <c r="F72" i="1"/>
  <c r="F71" i="1"/>
  <c r="F70" i="1"/>
  <c r="F69" i="1"/>
  <c r="F68" i="1"/>
  <c r="F67" i="1"/>
  <c r="I66" i="1" l="1"/>
  <c r="F66" i="1"/>
  <c r="I65" i="1" l="1"/>
  <c r="I64" i="1"/>
  <c r="I63" i="1"/>
  <c r="I62" i="1"/>
  <c r="I61" i="1"/>
  <c r="I60" i="1"/>
  <c r="I59" i="1"/>
  <c r="I58" i="1"/>
  <c r="I57" i="1"/>
  <c r="I56" i="1"/>
  <c r="I55" i="1"/>
  <c r="I54" i="1"/>
  <c r="F65" i="1"/>
  <c r="F64" i="1"/>
  <c r="F63" i="1"/>
  <c r="F62" i="1"/>
  <c r="F61" i="1"/>
  <c r="F60" i="1"/>
  <c r="F59" i="1"/>
  <c r="F58" i="1"/>
  <c r="F57" i="1"/>
  <c r="F56" i="1"/>
  <c r="F55" i="1"/>
  <c r="F54" i="1"/>
  <c r="I53" i="1" l="1"/>
  <c r="I52" i="1"/>
  <c r="I51" i="1"/>
  <c r="I50" i="1"/>
  <c r="I49" i="1"/>
  <c r="I48" i="1"/>
  <c r="I47" i="1"/>
  <c r="I46" i="1"/>
  <c r="I45" i="1"/>
  <c r="I44" i="1"/>
  <c r="I43" i="1"/>
  <c r="I42" i="1"/>
  <c r="F53" i="1" l="1"/>
  <c r="F52" i="1"/>
  <c r="F51" i="1"/>
  <c r="F50" i="1"/>
  <c r="F49" i="1"/>
  <c r="F48" i="1"/>
  <c r="F47" i="1"/>
  <c r="F46" i="1"/>
  <c r="F45" i="1"/>
  <c r="F44" i="1"/>
  <c r="F43" i="1"/>
  <c r="F42" i="1"/>
  <c r="C35" i="11" l="1"/>
  <c r="F35" i="11" s="1"/>
  <c r="C34" i="11"/>
  <c r="F34" i="11" s="1"/>
  <c r="C33" i="11"/>
  <c r="F33" i="11" s="1"/>
  <c r="C32" i="11"/>
  <c r="F32" i="11" s="1"/>
  <c r="C31" i="11"/>
  <c r="F31" i="11" s="1"/>
  <c r="C36" i="11"/>
  <c r="F36" i="11" s="1"/>
  <c r="D37" i="1"/>
  <c r="D38" i="1"/>
  <c r="D39" i="1"/>
  <c r="D40" i="1"/>
  <c r="D41" i="1"/>
  <c r="B41" i="1"/>
  <c r="F41" i="1" s="1"/>
  <c r="B40" i="1"/>
  <c r="B39" i="1"/>
  <c r="B38" i="1"/>
  <c r="B37" i="1"/>
  <c r="G10" i="13"/>
  <c r="G27" i="13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E41" i="11"/>
  <c r="D41" i="11"/>
  <c r="C41" i="11"/>
  <c r="B41" i="11"/>
  <c r="E40" i="11"/>
  <c r="D40" i="11"/>
  <c r="C40" i="11"/>
  <c r="B40" i="11"/>
  <c r="A8" i="11"/>
  <c r="F7" i="1"/>
  <c r="A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B36" i="4"/>
  <c r="C36" i="4"/>
  <c r="E36" i="4"/>
  <c r="F36" i="4"/>
  <c r="G36" i="4"/>
  <c r="H36" i="4"/>
  <c r="I36" i="4"/>
  <c r="K36" i="4"/>
  <c r="L36" i="4"/>
  <c r="M36" i="4"/>
  <c r="B36" i="8"/>
  <c r="C36" i="8"/>
  <c r="D36" i="8"/>
  <c r="E36" i="8"/>
  <c r="G36" i="8"/>
  <c r="H36" i="8"/>
  <c r="I36" i="8"/>
  <c r="J36" i="8"/>
  <c r="K36" i="8"/>
  <c r="L36" i="8"/>
  <c r="M36" i="8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F17" i="13"/>
  <c r="F34" i="13" s="1"/>
  <c r="G34" i="13" s="1"/>
  <c r="F17" i="6"/>
  <c r="F16" i="13"/>
  <c r="F33" i="13" s="1"/>
  <c r="G33" i="13" s="1"/>
  <c r="F16" i="6"/>
  <c r="F15" i="13"/>
  <c r="F32" i="13" s="1"/>
  <c r="G32" i="13" s="1"/>
  <c r="F15" i="6"/>
  <c r="F14" i="13"/>
  <c r="F31" i="13" s="1"/>
  <c r="G31" i="13" s="1"/>
  <c r="F14" i="6"/>
  <c r="F13" i="13"/>
  <c r="F30" i="13" s="1"/>
  <c r="G30" i="13" s="1"/>
  <c r="F13" i="6"/>
  <c r="F12" i="13"/>
  <c r="F29" i="13" s="1"/>
  <c r="G29" i="13" s="1"/>
  <c r="F12" i="6"/>
  <c r="F11" i="13"/>
  <c r="F28" i="13" s="1"/>
  <c r="G28" i="13" s="1"/>
  <c r="F11" i="6"/>
  <c r="F9" i="13"/>
  <c r="F26" i="13" s="1"/>
  <c r="G26" i="13" s="1"/>
  <c r="F9" i="6"/>
  <c r="F8" i="13"/>
  <c r="F25" i="13" s="1"/>
  <c r="G25" i="13" s="1"/>
  <c r="F8" i="6"/>
  <c r="F7" i="13"/>
  <c r="F24" i="13" s="1"/>
  <c r="G24" i="13" s="1"/>
  <c r="F7" i="6"/>
  <c r="F6" i="13"/>
  <c r="F23" i="13" s="1"/>
  <c r="G23" i="13" s="1"/>
  <c r="F6" i="6"/>
  <c r="F17" i="12"/>
  <c r="F17" i="5"/>
  <c r="F16" i="12"/>
  <c r="F16" i="5"/>
  <c r="F15" i="12"/>
  <c r="F15" i="5"/>
  <c r="F11" i="12"/>
  <c r="F11" i="5"/>
  <c r="F10" i="5"/>
  <c r="F10" i="12"/>
  <c r="F9" i="5"/>
  <c r="F9" i="12"/>
  <c r="F7" i="12"/>
  <c r="F7" i="5"/>
  <c r="F6" i="5"/>
  <c r="F6" i="12"/>
  <c r="F37" i="1"/>
  <c r="F13" i="5"/>
  <c r="F13" i="12"/>
  <c r="F12" i="5"/>
  <c r="F12" i="12"/>
  <c r="G17" i="13"/>
  <c r="M38" i="8"/>
  <c r="M38" i="4"/>
  <c r="F40" i="11"/>
  <c r="F41" i="11"/>
  <c r="F38" i="1"/>
  <c r="F39" i="1"/>
  <c r="F40" i="1"/>
  <c r="G15" i="13" l="1"/>
  <c r="G16" i="13"/>
  <c r="G13" i="13"/>
  <c r="G9" i="13"/>
  <c r="G8" i="13"/>
  <c r="G14" i="13"/>
  <c r="G7" i="13"/>
  <c r="G12" i="13"/>
  <c r="G6" i="13"/>
  <c r="F34" i="6"/>
  <c r="G34" i="6" s="1"/>
  <c r="G17" i="6"/>
  <c r="F33" i="6"/>
  <c r="G33" i="6" s="1"/>
  <c r="G16" i="6"/>
  <c r="F32" i="6"/>
  <c r="G32" i="6" s="1"/>
  <c r="G15" i="6"/>
  <c r="F18" i="13"/>
  <c r="F31" i="6"/>
  <c r="G31" i="6" s="1"/>
  <c r="G14" i="6"/>
  <c r="F30" i="6"/>
  <c r="G30" i="6" s="1"/>
  <c r="G13" i="6"/>
  <c r="F29" i="6"/>
  <c r="G29" i="6" s="1"/>
  <c r="G12" i="6"/>
  <c r="G11" i="13"/>
  <c r="F35" i="13"/>
  <c r="F28" i="6"/>
  <c r="G28" i="6" s="1"/>
  <c r="G11" i="6"/>
  <c r="G35" i="13"/>
  <c r="F26" i="6"/>
  <c r="G26" i="6" s="1"/>
  <c r="G9" i="6"/>
  <c r="F25" i="6"/>
  <c r="G25" i="6" s="1"/>
  <c r="G8" i="6"/>
  <c r="F24" i="6"/>
  <c r="G24" i="6" s="1"/>
  <c r="G7" i="6"/>
  <c r="F23" i="6"/>
  <c r="F18" i="6"/>
  <c r="G6" i="6"/>
  <c r="F34" i="5"/>
  <c r="G34" i="5" s="1"/>
  <c r="G17" i="5"/>
  <c r="F34" i="12"/>
  <c r="G34" i="12" s="1"/>
  <c r="G17" i="12"/>
  <c r="F33" i="5"/>
  <c r="G33" i="5" s="1"/>
  <c r="G16" i="5"/>
  <c r="F33" i="12"/>
  <c r="G33" i="12" s="1"/>
  <c r="G16" i="12"/>
  <c r="F32" i="5"/>
  <c r="G32" i="5" s="1"/>
  <c r="G15" i="5"/>
  <c r="F32" i="12"/>
  <c r="G32" i="12" s="1"/>
  <c r="G15" i="12"/>
  <c r="F28" i="5"/>
  <c r="G28" i="5" s="1"/>
  <c r="G11" i="5"/>
  <c r="F28" i="12"/>
  <c r="G28" i="12" s="1"/>
  <c r="G11" i="12"/>
  <c r="F27" i="12"/>
  <c r="G27" i="12" s="1"/>
  <c r="G10" i="12"/>
  <c r="F27" i="5"/>
  <c r="G27" i="5" s="1"/>
  <c r="G10" i="5"/>
  <c r="F26" i="5"/>
  <c r="G26" i="5" s="1"/>
  <c r="G9" i="5"/>
  <c r="F26" i="12"/>
  <c r="G26" i="12" s="1"/>
  <c r="G9" i="12"/>
  <c r="F24" i="12"/>
  <c r="G24" i="12" s="1"/>
  <c r="G7" i="12"/>
  <c r="F24" i="5"/>
  <c r="G24" i="5" s="1"/>
  <c r="G7" i="5"/>
  <c r="F23" i="12"/>
  <c r="G23" i="12" s="1"/>
  <c r="G6" i="12"/>
  <c r="F23" i="5"/>
  <c r="G23" i="5" s="1"/>
  <c r="G6" i="5"/>
  <c r="F30" i="12"/>
  <c r="G30" i="12" s="1"/>
  <c r="G13" i="12"/>
  <c r="F30" i="5"/>
  <c r="G30" i="5" s="1"/>
  <c r="G13" i="5"/>
  <c r="F29" i="12"/>
  <c r="F18" i="12"/>
  <c r="G12" i="12"/>
  <c r="F29" i="5"/>
  <c r="F18" i="5"/>
  <c r="G12" i="5"/>
  <c r="G18" i="13" l="1"/>
  <c r="G18" i="6"/>
  <c r="F35" i="6"/>
  <c r="G23" i="6"/>
  <c r="G35" i="6" s="1"/>
  <c r="G18" i="12"/>
  <c r="G18" i="5"/>
  <c r="F35" i="5"/>
  <c r="G29" i="5"/>
  <c r="G35" i="5" s="1"/>
  <c r="F35" i="12"/>
  <c r="G29" i="12"/>
  <c r="G35" i="1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D9F549-E9FA-434D-8B71-663DD16944DA}" keepAlive="1" name="Query - Oct 18" description="Connection to the 'Oct 18' query in the workbook." type="5" refreshedVersion="6" background="1">
    <dbPr connection="Provider=Microsoft.Mashup.OleDb.1;Data Source=$Workbook$;Location=Oct 18;Extended Properties=&quot;&quot;" command="SELECT * FROM [Oct 18]"/>
  </connection>
</connections>
</file>

<file path=xl/sharedStrings.xml><?xml version="1.0" encoding="utf-8"?>
<sst xmlns="http://schemas.openxmlformats.org/spreadsheetml/2006/main" count="221" uniqueCount="52">
  <si>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</si>
  <si>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</si>
  <si>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</si>
  <si>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</si>
  <si>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</si>
  <si>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</si>
  <si>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</si>
  <si>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</si>
  <si>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</si>
  <si>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</si>
  <si>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</si>
  <si>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</si>
  <si>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for Year</t>
  </si>
  <si>
    <t>Day of Month</t>
  </si>
  <si>
    <t>Month Total</t>
  </si>
  <si>
    <t>Base</t>
  </si>
  <si>
    <t>Heat</t>
  </si>
  <si>
    <t>Days</t>
  </si>
  <si>
    <t>HDD</t>
  </si>
  <si>
    <t>Usage</t>
  </si>
  <si>
    <t>Residential - CCS</t>
  </si>
  <si>
    <t>West Ohio</t>
  </si>
  <si>
    <t>Non-Residential - CCS</t>
  </si>
  <si>
    <t>East Ohio</t>
  </si>
  <si>
    <t>12 Months</t>
  </si>
  <si>
    <t xml:space="preserve"> </t>
  </si>
  <si>
    <t>1. Includes PIPP, credit, and transitional accounts served under sales rate schedule.</t>
  </si>
  <si>
    <t>SCO Customer Counts from CCS</t>
  </si>
  <si>
    <t>SCO East Ohio</t>
  </si>
  <si>
    <t>SCO West Ohio</t>
  </si>
  <si>
    <t>SSO East Ohio</t>
  </si>
  <si>
    <t>SSO West Ohio</t>
  </si>
  <si>
    <t>Month</t>
  </si>
  <si>
    <t>12 Months Mcf</t>
  </si>
  <si>
    <t>Normal 
HDD</t>
  </si>
  <si>
    <t>West Total</t>
  </si>
  <si>
    <t>WOG Design Day Capacity</t>
  </si>
  <si>
    <t>12 mo avg</t>
  </si>
  <si>
    <t>Compare</t>
  </si>
  <si>
    <t>SCO Mcf</t>
  </si>
  <si>
    <t>SCO Billed</t>
  </si>
  <si>
    <t>PIPP/SSO customer count</t>
  </si>
  <si>
    <t>East
non-res</t>
  </si>
  <si>
    <t>East 
res</t>
  </si>
  <si>
    <t>WOG
 non-res</t>
  </si>
  <si>
    <t>WOG 
res</t>
  </si>
  <si>
    <t>Total customers</t>
  </si>
  <si>
    <t>rolling</t>
  </si>
  <si>
    <t>Cust. avg</t>
  </si>
  <si>
    <r>
      <t>Non-PIPP standard c</t>
    </r>
    <r>
      <rPr>
        <b/>
        <sz val="10"/>
        <rFont val="Arial Nova Light"/>
        <family val="2"/>
      </rPr>
      <t>hoice</t>
    </r>
    <r>
      <rPr>
        <sz val="10"/>
        <rFont val="Arial Nova Light"/>
        <family val="2"/>
      </rPr>
      <t xml:space="preserve"> offer CCS customer count</t>
    </r>
  </si>
  <si>
    <t>Normal HDD by day</t>
  </si>
  <si>
    <t>Estimated Mcf usage per month per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</si>
</sst>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000_);\(#,##0.0000\)"/>
  </numFmts>
  <fonts count="25" x14ac:knownFonts="1">
    <font>
      <sz val="10"/>
      <name val="Times New Roman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0"/>
      <color theme="1"/>
      <name val="Calibri"/>
      <family val="2"/>
    </font>
    <font>
      <sz val="14"/>
      <name val="Arial Nova Light"/>
      <family val="2"/>
    </font>
    <font>
      <sz val="10"/>
      <name val="Arial Nova Light"/>
      <family val="2"/>
    </font>
    <font>
      <sz val="10"/>
      <color rgb="FFFF0000"/>
      <name val="Arial Nova Light"/>
      <family val="2"/>
    </font>
    <font>
      <b/>
      <sz val="10"/>
      <name val="Arial Nova Light"/>
      <family val="2"/>
    </font>
    <font>
      <sz val="8"/>
      <color rgb="FFFF0000"/>
      <name val="Arial Nova Light"/>
      <family val="2"/>
    </font>
    <font>
      <sz val="14"/>
      <color theme="9"/>
      <name val="Arial Nova Light"/>
      <family val="2"/>
    </font>
    <font>
      <b/>
      <sz val="14"/>
      <name val="Arial Nova Light"/>
      <family val="2"/>
    </font>
    <font>
      <b/>
      <sz val="14"/>
      <color theme="9"/>
      <name val="Arial Nova Light"/>
      <family val="2"/>
    </font>
    <font>
      <sz val="10"/>
      <color theme="9" tint="-0.249977111117893"/>
      <name val="Arial Nova Light"/>
      <family val="2"/>
    </font>
    <font>
      <sz val="10"/>
      <color theme="9"/>
      <name val="Arial Nova Light"/>
      <family val="2"/>
    </font>
    <font>
      <sz val="10"/>
      <color indexed="23"/>
      <name val="Arial Nova Light"/>
      <family val="2"/>
    </font>
    <font>
      <b/>
      <sz val="10"/>
      <color indexed="23"/>
      <name val="Arial Nova Light"/>
      <family val="2"/>
    </font>
    <font>
      <b/>
      <sz val="10"/>
      <color theme="9"/>
      <name val="Arial Nova Light"/>
      <family val="2"/>
    </font>
    <font>
      <b/>
      <i/>
      <sz val="14"/>
      <color theme="9" tint="-0.249977111117893"/>
      <name val="Arial Nova Light"/>
      <family val="2"/>
    </font>
    <font>
      <b/>
      <i/>
      <sz val="14"/>
      <name val="Arial Nova Light"/>
      <family val="2"/>
    </font>
    <font>
      <sz val="8"/>
      <name val="Arial Nova Light"/>
      <family val="2"/>
    </font>
    <font>
      <b/>
      <sz val="14"/>
      <color theme="9" tint="-0.249977111117893"/>
      <name val="Arial Nova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43" fontId="5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38" fontId="9" fillId="0" borderId="0" xfId="0" applyNumberFormat="1" applyFont="1"/>
    <xf numFmtId="38" fontId="9" fillId="0" borderId="1" xfId="0" applyNumberFormat="1" applyFont="1" applyBorder="1"/>
    <xf numFmtId="164" fontId="9" fillId="0" borderId="0" xfId="1" applyNumberFormat="1" applyFont="1"/>
    <xf numFmtId="164" fontId="9" fillId="0" borderId="0" xfId="1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Continuous"/>
    </xf>
    <xf numFmtId="164" fontId="9" fillId="0" borderId="0" xfId="1" applyNumberFormat="1" applyFont="1" applyBorder="1" applyAlignment="1">
      <alignment horizontal="centerContinuous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38" fontId="9" fillId="0" borderId="2" xfId="0" applyNumberFormat="1" applyFont="1" applyBorder="1" applyAlignment="1">
      <alignment horizontal="center" wrapText="1"/>
    </xf>
    <xf numFmtId="164" fontId="9" fillId="0" borderId="2" xfId="1" applyNumberFormat="1" applyFont="1" applyBorder="1" applyAlignment="1">
      <alignment horizontal="center"/>
    </xf>
    <xf numFmtId="17" fontId="9" fillId="0" borderId="0" xfId="0" applyNumberFormat="1" applyFont="1"/>
    <xf numFmtId="165" fontId="9" fillId="0" borderId="0" xfId="1" applyNumberFormat="1" applyFont="1"/>
    <xf numFmtId="165" fontId="9" fillId="0" borderId="0" xfId="0" applyNumberFormat="1" applyFont="1"/>
    <xf numFmtId="1" fontId="12" fillId="0" borderId="0" xfId="1" applyNumberFormat="1" applyFont="1" applyBorder="1" applyAlignment="1">
      <alignment horizontal="center"/>
    </xf>
    <xf numFmtId="164" fontId="9" fillId="0" borderId="0" xfId="0" applyNumberFormat="1" applyFont="1"/>
    <xf numFmtId="17" fontId="9" fillId="0" borderId="0" xfId="0" applyNumberFormat="1" applyFont="1" applyBorder="1"/>
    <xf numFmtId="165" fontId="9" fillId="0" borderId="0" xfId="1" applyNumberFormat="1" applyFont="1" applyBorder="1"/>
    <xf numFmtId="165" fontId="9" fillId="0" borderId="0" xfId="0" applyNumberFormat="1" applyFont="1" applyBorder="1"/>
    <xf numFmtId="165" fontId="9" fillId="0" borderId="0" xfId="1" applyNumberFormat="1" applyFont="1" applyFill="1"/>
    <xf numFmtId="164" fontId="9" fillId="0" borderId="0" xfId="1" applyNumberFormat="1" applyFont="1" applyFill="1"/>
    <xf numFmtId="9" fontId="9" fillId="0" borderId="0" xfId="6" applyFont="1"/>
    <xf numFmtId="38" fontId="9" fillId="0" borderId="0" xfId="0" applyNumberFormat="1" applyFont="1" applyBorder="1"/>
    <xf numFmtId="38" fontId="9" fillId="0" borderId="0" xfId="0" applyNumberFormat="1" applyFont="1" applyBorder="1" applyAlignment="1">
      <alignment horizontal="centerContinuous"/>
    </xf>
    <xf numFmtId="38" fontId="9" fillId="0" borderId="3" xfId="0" applyNumberFormat="1" applyFont="1" applyBorder="1" applyAlignment="1">
      <alignment horizontal="center"/>
    </xf>
    <xf numFmtId="38" fontId="9" fillId="0" borderId="3" xfId="0" applyNumberFormat="1" applyFont="1" applyBorder="1" applyAlignment="1">
      <alignment horizontal="center"/>
    </xf>
    <xf numFmtId="38" fontId="9" fillId="0" borderId="0" xfId="1" applyNumberFormat="1" applyFont="1"/>
    <xf numFmtId="38" fontId="9" fillId="0" borderId="0" xfId="1" applyNumberFormat="1" applyFont="1" applyFill="1"/>
    <xf numFmtId="2" fontId="9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9" fillId="0" borderId="0" xfId="1" applyNumberFormat="1" applyFont="1" applyAlignment="1">
      <alignment horizontal="right" wrapText="1"/>
    </xf>
    <xf numFmtId="164" fontId="9" fillId="0" borderId="0" xfId="1" applyNumberFormat="1" applyFont="1" applyAlignment="1">
      <alignment horizontal="center" wrapText="1"/>
    </xf>
    <xf numFmtId="3" fontId="9" fillId="0" borderId="0" xfId="0" applyNumberFormat="1" applyFont="1" applyAlignment="1">
      <alignment horizontal="right" wrapText="1"/>
    </xf>
    <xf numFmtId="0" fontId="16" fillId="0" borderId="0" xfId="0" applyFont="1"/>
    <xf numFmtId="0" fontId="9" fillId="0" borderId="0" xfId="0" quotePrefix="1" applyFont="1" applyAlignment="1">
      <alignment wrapText="1"/>
    </xf>
    <xf numFmtId="165" fontId="9" fillId="0" borderId="0" xfId="1" applyNumberFormat="1" applyFont="1" applyAlignment="1">
      <alignment horizontal="right"/>
    </xf>
    <xf numFmtId="0" fontId="17" fillId="0" borderId="0" xfId="0" applyFont="1"/>
    <xf numFmtId="166" fontId="9" fillId="0" borderId="0" xfId="0" applyNumberFormat="1" applyFont="1"/>
    <xf numFmtId="165" fontId="9" fillId="0" borderId="0" xfId="1" applyNumberFormat="1" applyFont="1" applyFill="1" applyAlignment="1">
      <alignment horizontal="right"/>
    </xf>
    <xf numFmtId="165" fontId="18" fillId="2" borderId="4" xfId="1" applyNumberFormat="1" applyFont="1" applyFill="1" applyBorder="1"/>
    <xf numFmtId="165" fontId="18" fillId="2" borderId="5" xfId="1" applyNumberFormat="1" applyFont="1" applyFill="1" applyBorder="1"/>
    <xf numFmtId="165" fontId="9" fillId="0" borderId="1" xfId="1" applyNumberFormat="1" applyFont="1" applyFill="1" applyBorder="1" applyAlignment="1">
      <alignment horizontal="right"/>
    </xf>
    <xf numFmtId="165" fontId="19" fillId="2" borderId="4" xfId="1" applyNumberFormat="1" applyFont="1" applyFill="1" applyBorder="1"/>
    <xf numFmtId="0" fontId="9" fillId="0" borderId="1" xfId="0" applyFont="1" applyBorder="1"/>
    <xf numFmtId="165" fontId="9" fillId="0" borderId="2" xfId="1" applyNumberFormat="1" applyFont="1" applyBorder="1" applyAlignment="1">
      <alignment horizontal="right"/>
    </xf>
    <xf numFmtId="165" fontId="9" fillId="0" borderId="2" xfId="1" applyNumberFormat="1" applyFont="1" applyFill="1" applyBorder="1" applyAlignment="1">
      <alignment horizontal="right"/>
    </xf>
    <xf numFmtId="165" fontId="9" fillId="0" borderId="1" xfId="1" applyNumberFormat="1" applyFont="1" applyBorder="1" applyAlignment="1">
      <alignment horizontal="right"/>
    </xf>
    <xf numFmtId="164" fontId="9" fillId="0" borderId="1" xfId="1" applyNumberFormat="1" applyFont="1" applyBorder="1"/>
    <xf numFmtId="165" fontId="20" fillId="0" borderId="0" xfId="1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Fill="1"/>
    <xf numFmtId="164" fontId="9" fillId="0" borderId="0" xfId="1" applyNumberFormat="1" applyFont="1" applyAlignment="1">
      <alignment horizontal="center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0" fontId="21" fillId="0" borderId="0" xfId="0" applyFont="1"/>
    <xf numFmtId="164" fontId="9" fillId="0" borderId="0" xfId="1" applyNumberFormat="1" applyFont="1" applyAlignment="1">
      <alignment horizontal="right"/>
    </xf>
    <xf numFmtId="164" fontId="9" fillId="0" borderId="0" xfId="1" applyNumberFormat="1" applyFont="1" applyAlignment="1">
      <alignment horizontal="right" wrapText="1"/>
    </xf>
    <xf numFmtId="166" fontId="9" fillId="0" borderId="0" xfId="0" applyNumberFormat="1" applyFont="1" applyFill="1"/>
    <xf numFmtId="0" fontId="10" fillId="0" borderId="0" xfId="0" applyFont="1"/>
    <xf numFmtId="38" fontId="10" fillId="0" borderId="0" xfId="0" applyNumberFormat="1" applyFont="1"/>
    <xf numFmtId="164" fontId="9" fillId="0" borderId="1" xfId="1" applyNumberFormat="1" applyFont="1" applyBorder="1" applyAlignment="1">
      <alignment horizontal="right"/>
    </xf>
    <xf numFmtId="0" fontId="22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38" fontId="23" fillId="0" borderId="0" xfId="0" applyNumberFormat="1" applyFont="1"/>
    <xf numFmtId="38" fontId="12" fillId="0" borderId="0" xfId="0" applyNumberFormat="1" applyFont="1"/>
    <xf numFmtId="0" fontId="24" fillId="0" borderId="0" xfId="0" applyFont="1"/>
  </cellXfs>
  <cellStyles count="12">
    <cellStyle name="Comma" xfId="1" builtinId="3"/>
    <cellStyle name="Comma 2" xfId="5" xr:uid="{2198D38E-B892-4C25-9B53-EE5CB450F71F}"/>
    <cellStyle name="Comma 3" xfId="10" xr:uid="{56F71F2F-C07B-4FB2-AA27-9168D00F47F3}"/>
    <cellStyle name="Currency 2" xfId="4" xr:uid="{CCBC4A51-3150-4125-BFDA-D55579C46563}"/>
    <cellStyle name="Normal" xfId="0" builtinId="0"/>
    <cellStyle name="Normal 2" xfId="2" xr:uid="{00000000-0005-0000-0000-000002000000}"/>
    <cellStyle name="Normal 3" xfId="3" xr:uid="{3E24815D-1312-41F4-99B6-F84A5C589EDC}"/>
    <cellStyle name="Normal 4" xfId="7" xr:uid="{3F39C08A-4AA5-455D-8887-24C20120391B}"/>
    <cellStyle name="Normal 4 2" xfId="9" xr:uid="{9D0E335B-44E5-42B4-8245-C3C19055A581}"/>
    <cellStyle name="Normal 5" xfId="8" xr:uid="{F7234ADF-4E3D-4081-BD64-9F60D5E9DD62}"/>
    <cellStyle name="Normal 6" xfId="11" xr:uid="{5DE86150-C1DB-43F0-8D83-D06204759E80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SSO customers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'SSO historical customer count'!$F$6</c:f>
              <c:strCache>
                <c:ptCount val="1"/>
                <c:pt idx="0">
                  <c:v>Total customers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'SSO historical customer count'!$A$130:$A$225</c:f>
              <c:numCache>
                <c:formatCode>mmm\-yy</c:formatCode>
                <c:ptCount val="93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  <c:pt idx="4">
                  <c:v>42948</c:v>
                </c:pt>
                <c:pt idx="5">
                  <c:v>42979</c:v>
                </c:pt>
                <c:pt idx="6">
                  <c:v>43009</c:v>
                </c:pt>
                <c:pt idx="7">
                  <c:v>43040</c:v>
                </c:pt>
                <c:pt idx="8">
                  <c:v>43070</c:v>
                </c:pt>
                <c:pt idx="9">
                  <c:v>43101</c:v>
                </c:pt>
                <c:pt idx="10">
                  <c:v>43132</c:v>
                </c:pt>
                <c:pt idx="11">
                  <c:v>43160</c:v>
                </c:pt>
                <c:pt idx="12">
                  <c:v>43191</c:v>
                </c:pt>
                <c:pt idx="13">
                  <c:v>43221</c:v>
                </c:pt>
                <c:pt idx="14">
                  <c:v>43252</c:v>
                </c:pt>
                <c:pt idx="15">
                  <c:v>43282</c:v>
                </c:pt>
                <c:pt idx="16">
                  <c:v>43313</c:v>
                </c:pt>
                <c:pt idx="17">
                  <c:v>43344</c:v>
                </c:pt>
                <c:pt idx="18">
                  <c:v>43374</c:v>
                </c:pt>
                <c:pt idx="19">
                  <c:v>43405</c:v>
                </c:pt>
                <c:pt idx="20">
                  <c:v>43435</c:v>
                </c:pt>
                <c:pt idx="21">
                  <c:v>43466</c:v>
                </c:pt>
                <c:pt idx="22">
                  <c:v>43497</c:v>
                </c:pt>
                <c:pt idx="23">
                  <c:v>43525</c:v>
                </c:pt>
                <c:pt idx="24">
                  <c:v>43556</c:v>
                </c:pt>
                <c:pt idx="25">
                  <c:v>43586</c:v>
                </c:pt>
                <c:pt idx="26">
                  <c:v>43617</c:v>
                </c:pt>
                <c:pt idx="27">
                  <c:v>43647</c:v>
                </c:pt>
                <c:pt idx="28">
                  <c:v>43678</c:v>
                </c:pt>
                <c:pt idx="29">
                  <c:v>43709</c:v>
                </c:pt>
                <c:pt idx="30">
                  <c:v>43739</c:v>
                </c:pt>
                <c:pt idx="31">
                  <c:v>43770</c:v>
                </c:pt>
                <c:pt idx="32">
                  <c:v>43800</c:v>
                </c:pt>
                <c:pt idx="33">
                  <c:v>43831</c:v>
                </c:pt>
                <c:pt idx="34">
                  <c:v>43862</c:v>
                </c:pt>
                <c:pt idx="35">
                  <c:v>43891</c:v>
                </c:pt>
                <c:pt idx="36">
                  <c:v>43922</c:v>
                </c:pt>
                <c:pt idx="37">
                  <c:v>43952</c:v>
                </c:pt>
                <c:pt idx="38">
                  <c:v>43983</c:v>
                </c:pt>
                <c:pt idx="39">
                  <c:v>44013</c:v>
                </c:pt>
                <c:pt idx="40">
                  <c:v>44044</c:v>
                </c:pt>
                <c:pt idx="41">
                  <c:v>44075</c:v>
                </c:pt>
                <c:pt idx="42">
                  <c:v>44105</c:v>
                </c:pt>
                <c:pt idx="43">
                  <c:v>44136</c:v>
                </c:pt>
                <c:pt idx="44">
                  <c:v>44166</c:v>
                </c:pt>
                <c:pt idx="45">
                  <c:v>44197</c:v>
                </c:pt>
                <c:pt idx="46">
                  <c:v>44228</c:v>
                </c:pt>
                <c:pt idx="47">
                  <c:v>44256</c:v>
                </c:pt>
                <c:pt idx="48">
                  <c:v>44287</c:v>
                </c:pt>
                <c:pt idx="49">
                  <c:v>44317</c:v>
                </c:pt>
                <c:pt idx="50">
                  <c:v>44348</c:v>
                </c:pt>
                <c:pt idx="51">
                  <c:v>44378</c:v>
                </c:pt>
                <c:pt idx="52">
                  <c:v>44409</c:v>
                </c:pt>
                <c:pt idx="53">
                  <c:v>44440</c:v>
                </c:pt>
                <c:pt idx="54">
                  <c:v>44470</c:v>
                </c:pt>
                <c:pt idx="55">
                  <c:v>44530</c:v>
                </c:pt>
                <c:pt idx="56">
                  <c:v>44561</c:v>
                </c:pt>
                <c:pt idx="57">
                  <c:v>44592</c:v>
                </c:pt>
                <c:pt idx="58">
                  <c:v>44620</c:v>
                </c:pt>
                <c:pt idx="59">
                  <c:v>44651</c:v>
                </c:pt>
                <c:pt idx="60">
                  <c:v>44681</c:v>
                </c:pt>
                <c:pt idx="61">
                  <c:v>44712</c:v>
                </c:pt>
                <c:pt idx="62">
                  <c:v>44742</c:v>
                </c:pt>
                <c:pt idx="63">
                  <c:v>44773</c:v>
                </c:pt>
                <c:pt idx="64">
                  <c:v>44804</c:v>
                </c:pt>
                <c:pt idx="65">
                  <c:v>44834</c:v>
                </c:pt>
                <c:pt idx="66">
                  <c:v>44865</c:v>
                </c:pt>
                <c:pt idx="67">
                  <c:v>44895</c:v>
                </c:pt>
                <c:pt idx="68">
                  <c:v>44926</c:v>
                </c:pt>
                <c:pt idx="69">
                  <c:v>44957</c:v>
                </c:pt>
                <c:pt idx="70">
                  <c:v>44985</c:v>
                </c:pt>
                <c:pt idx="71">
                  <c:v>45016</c:v>
                </c:pt>
                <c:pt idx="72">
                  <c:v>45046</c:v>
                </c:pt>
                <c:pt idx="73">
                  <c:v>45077</c:v>
                </c:pt>
                <c:pt idx="74">
                  <c:v>45107</c:v>
                </c:pt>
                <c:pt idx="75">
                  <c:v>45138</c:v>
                </c:pt>
                <c:pt idx="76">
                  <c:v>45169</c:v>
                </c:pt>
                <c:pt idx="77">
                  <c:v>45199</c:v>
                </c:pt>
                <c:pt idx="78">
                  <c:v>45230</c:v>
                </c:pt>
                <c:pt idx="79">
                  <c:v>45260</c:v>
                </c:pt>
                <c:pt idx="80">
                  <c:v>45291</c:v>
                </c:pt>
                <c:pt idx="81">
                  <c:v>45322</c:v>
                </c:pt>
                <c:pt idx="82">
                  <c:v>45351</c:v>
                </c:pt>
                <c:pt idx="83">
                  <c:v>45382</c:v>
                </c:pt>
                <c:pt idx="84">
                  <c:v>45412</c:v>
                </c:pt>
                <c:pt idx="85">
                  <c:v>45443</c:v>
                </c:pt>
                <c:pt idx="86">
                  <c:v>45473</c:v>
                </c:pt>
                <c:pt idx="87">
                  <c:v>45504</c:v>
                </c:pt>
                <c:pt idx="88">
                  <c:v>45535</c:v>
                </c:pt>
                <c:pt idx="89">
                  <c:v>45565</c:v>
                </c:pt>
                <c:pt idx="90">
                  <c:v>45596</c:v>
                </c:pt>
                <c:pt idx="91">
                  <c:v>45626</c:v>
                </c:pt>
                <c:pt idx="92">
                  <c:v>45657</c:v>
                </c:pt>
              </c:numCache>
            </c:numRef>
          </c:cat>
          <c:val>
            <c:numRef>
              <c:f>'SSO historical customer count'!$F$130:$F$225</c:f>
              <c:numCache>
                <c:formatCode>#,##0_);[Red]\(#,##0\)</c:formatCode>
                <c:ptCount val="93"/>
                <c:pt idx="0">
                  <c:v>85067</c:v>
                </c:pt>
                <c:pt idx="1">
                  <c:v>95752</c:v>
                </c:pt>
                <c:pt idx="2">
                  <c:v>98092</c:v>
                </c:pt>
                <c:pt idx="3">
                  <c:v>99637</c:v>
                </c:pt>
                <c:pt idx="4">
                  <c:v>97089</c:v>
                </c:pt>
                <c:pt idx="5">
                  <c:v>97267</c:v>
                </c:pt>
                <c:pt idx="6">
                  <c:v>105120</c:v>
                </c:pt>
                <c:pt idx="7">
                  <c:v>115626</c:v>
                </c:pt>
                <c:pt idx="8">
                  <c:v>117428</c:v>
                </c:pt>
                <c:pt idx="9">
                  <c:v>107194</c:v>
                </c:pt>
                <c:pt idx="10">
                  <c:v>103199</c:v>
                </c:pt>
                <c:pt idx="11">
                  <c:v>106978</c:v>
                </c:pt>
                <c:pt idx="12">
                  <c:v>82527</c:v>
                </c:pt>
                <c:pt idx="13">
                  <c:v>94189</c:v>
                </c:pt>
                <c:pt idx="14">
                  <c:v>91928</c:v>
                </c:pt>
                <c:pt idx="15">
                  <c:v>91527</c:v>
                </c:pt>
                <c:pt idx="16">
                  <c:v>93359</c:v>
                </c:pt>
                <c:pt idx="17">
                  <c:v>92112</c:v>
                </c:pt>
                <c:pt idx="18">
                  <c:v>96472</c:v>
                </c:pt>
                <c:pt idx="19">
                  <c:v>106616</c:v>
                </c:pt>
                <c:pt idx="20">
                  <c:v>103781</c:v>
                </c:pt>
                <c:pt idx="21">
                  <c:v>95111</c:v>
                </c:pt>
                <c:pt idx="22">
                  <c:v>91989</c:v>
                </c:pt>
                <c:pt idx="23">
                  <c:v>98943</c:v>
                </c:pt>
                <c:pt idx="24">
                  <c:v>75401</c:v>
                </c:pt>
                <c:pt idx="25">
                  <c:v>85724</c:v>
                </c:pt>
                <c:pt idx="26">
                  <c:v>86782</c:v>
                </c:pt>
                <c:pt idx="27">
                  <c:v>88363</c:v>
                </c:pt>
                <c:pt idx="28">
                  <c:v>88125</c:v>
                </c:pt>
                <c:pt idx="29">
                  <c:v>86740</c:v>
                </c:pt>
                <c:pt idx="30">
                  <c:v>90691</c:v>
                </c:pt>
                <c:pt idx="31">
                  <c:v>102014</c:v>
                </c:pt>
                <c:pt idx="32">
                  <c:v>99892</c:v>
                </c:pt>
                <c:pt idx="33">
                  <c:v>92515</c:v>
                </c:pt>
                <c:pt idx="34">
                  <c:v>93373</c:v>
                </c:pt>
                <c:pt idx="35">
                  <c:v>96540</c:v>
                </c:pt>
                <c:pt idx="36">
                  <c:v>68740</c:v>
                </c:pt>
                <c:pt idx="37">
                  <c:v>81063</c:v>
                </c:pt>
                <c:pt idx="38">
                  <c:v>81015</c:v>
                </c:pt>
                <c:pt idx="39">
                  <c:v>80914</c:v>
                </c:pt>
                <c:pt idx="40">
                  <c:v>80703</c:v>
                </c:pt>
                <c:pt idx="41">
                  <c:v>80949</c:v>
                </c:pt>
                <c:pt idx="42">
                  <c:v>84939</c:v>
                </c:pt>
                <c:pt idx="43">
                  <c:v>86140</c:v>
                </c:pt>
                <c:pt idx="44">
                  <c:v>86642</c:v>
                </c:pt>
                <c:pt idx="45">
                  <c:v>80825</c:v>
                </c:pt>
                <c:pt idx="46">
                  <c:v>79796</c:v>
                </c:pt>
                <c:pt idx="47">
                  <c:v>86404</c:v>
                </c:pt>
                <c:pt idx="48">
                  <c:v>69632</c:v>
                </c:pt>
                <c:pt idx="49">
                  <c:v>80080</c:v>
                </c:pt>
                <c:pt idx="50">
                  <c:v>80381</c:v>
                </c:pt>
                <c:pt idx="51">
                  <c:v>77303</c:v>
                </c:pt>
                <c:pt idx="52">
                  <c:v>77337</c:v>
                </c:pt>
                <c:pt idx="53">
                  <c:v>77682</c:v>
                </c:pt>
                <c:pt idx="54">
                  <c:v>86784</c:v>
                </c:pt>
                <c:pt idx="55">
                  <c:v>91304</c:v>
                </c:pt>
                <c:pt idx="56">
                  <c:v>84061</c:v>
                </c:pt>
                <c:pt idx="57">
                  <c:v>81612</c:v>
                </c:pt>
                <c:pt idx="58">
                  <c:v>79265</c:v>
                </c:pt>
                <c:pt idx="59">
                  <c:v>82541</c:v>
                </c:pt>
                <c:pt idx="60">
                  <c:v>66508</c:v>
                </c:pt>
                <c:pt idx="61">
                  <c:v>89725</c:v>
                </c:pt>
                <c:pt idx="62">
                  <c:v>80629</c:v>
                </c:pt>
                <c:pt idx="63">
                  <c:v>77193</c:v>
                </c:pt>
                <c:pt idx="64">
                  <c:v>77412</c:v>
                </c:pt>
                <c:pt idx="65">
                  <c:v>77251</c:v>
                </c:pt>
                <c:pt idx="66">
                  <c:v>82987</c:v>
                </c:pt>
                <c:pt idx="67">
                  <c:v>93863</c:v>
                </c:pt>
                <c:pt idx="68">
                  <c:v>91355</c:v>
                </c:pt>
                <c:pt idx="69">
                  <c:v>82277</c:v>
                </c:pt>
                <c:pt idx="70">
                  <c:v>82562</c:v>
                </c:pt>
                <c:pt idx="71">
                  <c:v>88956</c:v>
                </c:pt>
                <c:pt idx="72">
                  <c:v>68066</c:v>
                </c:pt>
                <c:pt idx="73">
                  <c:v>83834</c:v>
                </c:pt>
                <c:pt idx="74">
                  <c:v>86562</c:v>
                </c:pt>
                <c:pt idx="75">
                  <c:v>84047</c:v>
                </c:pt>
                <c:pt idx="76">
                  <c:v>79212</c:v>
                </c:pt>
                <c:pt idx="77">
                  <c:v>78378</c:v>
                </c:pt>
                <c:pt idx="78">
                  <c:v>82920</c:v>
                </c:pt>
                <c:pt idx="79">
                  <c:v>93254</c:v>
                </c:pt>
                <c:pt idx="80">
                  <c:v>91364</c:v>
                </c:pt>
                <c:pt idx="81">
                  <c:v>89187</c:v>
                </c:pt>
                <c:pt idx="82">
                  <c:v>86832</c:v>
                </c:pt>
                <c:pt idx="83">
                  <c:v>77104</c:v>
                </c:pt>
                <c:pt idx="84">
                  <c:v>73387</c:v>
                </c:pt>
                <c:pt idx="85">
                  <c:v>83979</c:v>
                </c:pt>
                <c:pt idx="86">
                  <c:v>82042</c:v>
                </c:pt>
                <c:pt idx="87">
                  <c:v>80687</c:v>
                </c:pt>
                <c:pt idx="88">
                  <c:v>80894</c:v>
                </c:pt>
                <c:pt idx="89">
                  <c:v>82117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1-4266-B012-53B650600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065551"/>
        <c:axId val="118061231"/>
      </c:barChart>
      <c:dateAx>
        <c:axId val="1180655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61231"/>
        <c:crosses val="autoZero"/>
        <c:auto val="1"/>
        <c:lblOffset val="100"/>
        <c:baseTimeUnit val="months"/>
      </c:dateAx>
      <c:valAx>
        <c:axId val="1180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65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SCO Customers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'SCO historical customer count'!$F$6</c:f>
              <c:strCache>
                <c:ptCount val="1"/>
                <c:pt idx="0">
                  <c:v>Total customers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'SCO historical customer count'!$A$130:$A$225</c:f>
              <c:numCache>
                <c:formatCode>mmm\-yy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  <c:pt idx="33">
                  <c:v>45230</c:v>
                </c:pt>
                <c:pt idx="34">
                  <c:v>45260</c:v>
                </c:pt>
                <c:pt idx="35">
                  <c:v>45291</c:v>
                </c:pt>
                <c:pt idx="36">
                  <c:v>45322</c:v>
                </c:pt>
                <c:pt idx="37">
                  <c:v>45351</c:v>
                </c:pt>
                <c:pt idx="38">
                  <c:v>45382</c:v>
                </c:pt>
                <c:pt idx="39">
                  <c:v>45412</c:v>
                </c:pt>
                <c:pt idx="40">
                  <c:v>45443</c:v>
                </c:pt>
                <c:pt idx="41">
                  <c:v>45473</c:v>
                </c:pt>
                <c:pt idx="42">
                  <c:v>45504</c:v>
                </c:pt>
                <c:pt idx="43">
                  <c:v>45535</c:v>
                </c:pt>
                <c:pt idx="44">
                  <c:v>45565</c:v>
                </c:pt>
                <c:pt idx="45">
                  <c:v>45596</c:v>
                </c:pt>
                <c:pt idx="46">
                  <c:v>45626</c:v>
                </c:pt>
                <c:pt idx="47">
                  <c:v>45657</c:v>
                </c:pt>
              </c:numCache>
            </c:numRef>
          </c:cat>
          <c:val>
            <c:numRef>
              <c:f>'SCO historical customer count'!$F$130:$F$225</c:f>
              <c:numCache>
                <c:formatCode>_(* #,##0_);_(* \(#,##0\);_(* "-"??_);_(@_)</c:formatCode>
                <c:ptCount val="48"/>
                <c:pt idx="0">
                  <c:v>175600</c:v>
                </c:pt>
                <c:pt idx="1">
                  <c:v>185134</c:v>
                </c:pt>
                <c:pt idx="2">
                  <c:v>170017</c:v>
                </c:pt>
                <c:pt idx="3">
                  <c:v>179242</c:v>
                </c:pt>
                <c:pt idx="4">
                  <c:v>180740</c:v>
                </c:pt>
                <c:pt idx="5">
                  <c:v>180132</c:v>
                </c:pt>
                <c:pt idx="6">
                  <c:v>184414</c:v>
                </c:pt>
                <c:pt idx="7">
                  <c:v>185544</c:v>
                </c:pt>
                <c:pt idx="8">
                  <c:v>186837</c:v>
                </c:pt>
                <c:pt idx="9">
                  <c:v>176795</c:v>
                </c:pt>
                <c:pt idx="10">
                  <c:v>168879</c:v>
                </c:pt>
                <c:pt idx="11">
                  <c:v>179476</c:v>
                </c:pt>
                <c:pt idx="12">
                  <c:v>181284</c:v>
                </c:pt>
                <c:pt idx="13">
                  <c:v>180927</c:v>
                </c:pt>
                <c:pt idx="14">
                  <c:v>169685</c:v>
                </c:pt>
                <c:pt idx="15">
                  <c:v>190452</c:v>
                </c:pt>
                <c:pt idx="16">
                  <c:v>180363</c:v>
                </c:pt>
                <c:pt idx="17">
                  <c:v>188073</c:v>
                </c:pt>
                <c:pt idx="18">
                  <c:v>192729</c:v>
                </c:pt>
                <c:pt idx="19">
                  <c:v>191111</c:v>
                </c:pt>
                <c:pt idx="20">
                  <c:v>194877</c:v>
                </c:pt>
                <c:pt idx="21">
                  <c:v>188072</c:v>
                </c:pt>
                <c:pt idx="22">
                  <c:v>186300</c:v>
                </c:pt>
                <c:pt idx="23">
                  <c:v>190319</c:v>
                </c:pt>
                <c:pt idx="24">
                  <c:v>199981</c:v>
                </c:pt>
                <c:pt idx="25">
                  <c:v>202359</c:v>
                </c:pt>
                <c:pt idx="26">
                  <c:v>204339</c:v>
                </c:pt>
                <c:pt idx="27">
                  <c:v>218718</c:v>
                </c:pt>
                <c:pt idx="28">
                  <c:v>213255</c:v>
                </c:pt>
                <c:pt idx="29">
                  <c:v>206377</c:v>
                </c:pt>
                <c:pt idx="30">
                  <c:v>202455</c:v>
                </c:pt>
                <c:pt idx="31">
                  <c:v>213394</c:v>
                </c:pt>
                <c:pt idx="32">
                  <c:v>214821</c:v>
                </c:pt>
                <c:pt idx="33">
                  <c:v>202696</c:v>
                </c:pt>
                <c:pt idx="34">
                  <c:v>198936</c:v>
                </c:pt>
                <c:pt idx="35">
                  <c:v>193781</c:v>
                </c:pt>
                <c:pt idx="36">
                  <c:v>201343</c:v>
                </c:pt>
                <c:pt idx="37">
                  <c:v>202316</c:v>
                </c:pt>
                <c:pt idx="38">
                  <c:v>213519</c:v>
                </c:pt>
                <c:pt idx="39">
                  <c:v>206619</c:v>
                </c:pt>
                <c:pt idx="40">
                  <c:v>191872</c:v>
                </c:pt>
                <c:pt idx="41">
                  <c:v>189932</c:v>
                </c:pt>
                <c:pt idx="42">
                  <c:v>190496</c:v>
                </c:pt>
                <c:pt idx="43">
                  <c:v>192389</c:v>
                </c:pt>
                <c:pt idx="44">
                  <c:v>193779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D3-4FE8-98BE-FDB2EAF1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75543"/>
        <c:axId val="124378063"/>
      </c:barChart>
      <c:dateAx>
        <c:axId val="1243755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378063"/>
        <c:crosses val="autoZero"/>
        <c:auto val="1"/>
        <c:lblOffset val="100"/>
        <c:baseTimeUnit val="months"/>
      </c:dateAx>
      <c:valAx>
        <c:axId val="12437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375543"/>
        <c:crosses val="autoZero"/>
        <c:crossBetween val="between"/>
        <c:minorUnit val="1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514351</xdr:colOff>
      <xdr:row>228</xdr:row>
      <xdr:rowOff>114300</xdr:rowOff>
    </xdr:from>
    <xdr:to>
      <xdr:col>7</xdr:col>
      <xdr:colOff>0</xdr:colOff>
      <xdr:row>242</xdr:row>
      <xdr:rowOff>42861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92C201-F23E-B681-EC17-DAAF39616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227</xdr:row>
      <xdr:rowOff>142881</xdr:rowOff>
    </xdr:from>
    <xdr:to>
      <xdr:col>7</xdr:col>
      <xdr:colOff>590550</xdr:colOff>
      <xdr:row>240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D5ADAF-FEDA-C1E5-C2DE-93D2D5C19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G228"/>
  <sheetViews>
    <sheetView tabSelected="1" workbookViewId="0">
      <pane xSplit="1" ySplit="132" topLeftCell="B211" activePane="bottomRight" state="frozen"/>
      <selection pane="topRight" activeCell="B1" sqref="B1"/>
      <selection pane="bottomLeft" activeCell="A133" sqref="A133"/>
      <selection pane="bottomRight" activeCell="E6" sqref="E6"/>
    </sheetView>
  </sheetViews>
  <sheetFormatPr defaultColWidth="9.33203125" defaultRowHeight="12.75" x14ac:dyDescent="0.2"/>
  <cols>
    <col min="1" max="1" width="9.5" style="2" bestFit="1" customWidth="1"/>
    <col min="2" max="6" width="12.83203125" style="7" customWidth="1"/>
    <col min="7" max="7" width="6" style="2" customWidth="1"/>
    <col min="8" max="16384" width="9.33203125" style="2"/>
  </cols>
  <sheetData>
    <row r="3" spans="1:7" x14ac:dyDescent="0.2">
      <c r="B3" s="32"/>
      <c r="C3" s="32"/>
      <c r="D3" s="32"/>
      <c r="E3" s="32"/>
      <c r="F3" s="32"/>
      <c r="G3" s="11"/>
    </row>
    <row r="4" spans="1:7" x14ac:dyDescent="0.2">
      <c r="B4" s="33" t="s">
        <v>41</v>
      </c>
      <c r="C4" s="33"/>
      <c r="D4" s="33"/>
      <c r="E4" s="33"/>
      <c r="F4" s="33"/>
      <c r="G4" s="12" t="s">
        <v>25</v>
      </c>
    </row>
    <row r="5" spans="1:7" x14ac:dyDescent="0.2">
      <c r="B5" s="34" t="s">
        <v>23</v>
      </c>
      <c r="C5" s="34"/>
      <c r="D5" s="34" t="s">
        <v>21</v>
      </c>
      <c r="E5" s="34"/>
      <c r="F5" s="35"/>
      <c r="G5" s="16"/>
    </row>
    <row r="6" spans="1:7" ht="45" customHeight="1" x14ac:dyDescent="0.2">
      <c r="A6" s="2" t="s">
        <v>32</v>
      </c>
      <c r="B6" s="19" t="s">
        <v>42</v>
      </c>
      <c r="C6" s="19" t="s">
        <v>43</v>
      </c>
      <c r="D6" s="19" t="s">
        <v>44</v>
      </c>
      <c r="E6" s="19" t="s">
        <v>45</v>
      </c>
      <c r="F6" s="19" t="s">
        <v>46</v>
      </c>
      <c r="G6" s="16"/>
    </row>
    <row r="7" spans="1:7" hidden="1" x14ac:dyDescent="0.2">
      <c r="A7" s="21">
        <v>38991</v>
      </c>
      <c r="B7" s="36"/>
      <c r="C7" s="36">
        <v>93373</v>
      </c>
      <c r="D7" s="36"/>
      <c r="E7" s="36">
        <v>3402</v>
      </c>
      <c r="F7" s="36">
        <f>SUM(B7:E7)</f>
        <v>96775</v>
      </c>
      <c r="G7" s="22"/>
    </row>
    <row r="8" spans="1:7" hidden="1" x14ac:dyDescent="0.2">
      <c r="A8" s="21">
        <f>+A7+31</f>
        <v>39022</v>
      </c>
      <c r="B8" s="36"/>
      <c r="C8" s="36">
        <v>93487</v>
      </c>
      <c r="D8" s="36"/>
      <c r="E8" s="36">
        <v>3639</v>
      </c>
      <c r="F8" s="36">
        <f t="shared" ref="F8:F72" si="0">SUM(B8:E8)</f>
        <v>97126</v>
      </c>
      <c r="G8" s="22"/>
    </row>
    <row r="9" spans="1:7" hidden="1" x14ac:dyDescent="0.2">
      <c r="A9" s="21">
        <f>+A8+30</f>
        <v>39052</v>
      </c>
      <c r="B9" s="36"/>
      <c r="C9" s="36">
        <v>95858</v>
      </c>
      <c r="D9" s="36"/>
      <c r="E9" s="36">
        <v>3792</v>
      </c>
      <c r="F9" s="36">
        <f t="shared" si="0"/>
        <v>99650</v>
      </c>
      <c r="G9" s="22"/>
    </row>
    <row r="10" spans="1:7" hidden="1" x14ac:dyDescent="0.2">
      <c r="A10" s="21">
        <f>+A9+31</f>
        <v>39083</v>
      </c>
      <c r="B10" s="36"/>
      <c r="C10" s="36">
        <v>97195</v>
      </c>
      <c r="D10" s="36"/>
      <c r="E10" s="36">
        <v>3943</v>
      </c>
      <c r="F10" s="36">
        <f t="shared" si="0"/>
        <v>101138</v>
      </c>
      <c r="G10" s="22"/>
    </row>
    <row r="11" spans="1:7" hidden="1" x14ac:dyDescent="0.2">
      <c r="A11" s="21">
        <f>+A10+31</f>
        <v>39114</v>
      </c>
      <c r="B11" s="36"/>
      <c r="C11" s="36">
        <v>99855</v>
      </c>
      <c r="D11" s="36"/>
      <c r="E11" s="36">
        <v>4136</v>
      </c>
      <c r="F11" s="36">
        <f t="shared" si="0"/>
        <v>103991</v>
      </c>
      <c r="G11" s="22"/>
    </row>
    <row r="12" spans="1:7" hidden="1" x14ac:dyDescent="0.2">
      <c r="A12" s="21">
        <f>+A11+28</f>
        <v>39142</v>
      </c>
      <c r="B12" s="36"/>
      <c r="C12" s="36">
        <v>103086</v>
      </c>
      <c r="D12" s="36"/>
      <c r="E12" s="36">
        <v>4206</v>
      </c>
      <c r="F12" s="36">
        <f t="shared" si="0"/>
        <v>107292</v>
      </c>
      <c r="G12" s="22"/>
    </row>
    <row r="13" spans="1:7" hidden="1" x14ac:dyDescent="0.2">
      <c r="A13" s="21">
        <f>+A12+31</f>
        <v>39173</v>
      </c>
      <c r="B13" s="36"/>
      <c r="C13" s="36">
        <v>104219</v>
      </c>
      <c r="D13" s="36"/>
      <c r="E13" s="36">
        <v>4209</v>
      </c>
      <c r="F13" s="36">
        <f t="shared" si="0"/>
        <v>108428</v>
      </c>
      <c r="G13" s="22"/>
    </row>
    <row r="14" spans="1:7" hidden="1" x14ac:dyDescent="0.2">
      <c r="A14" s="21">
        <f>+A13+30</f>
        <v>39203</v>
      </c>
      <c r="B14" s="36"/>
      <c r="C14" s="36">
        <v>97884</v>
      </c>
      <c r="D14" s="36"/>
      <c r="E14" s="36">
        <v>3936</v>
      </c>
      <c r="F14" s="36">
        <f t="shared" si="0"/>
        <v>101820</v>
      </c>
      <c r="G14" s="22"/>
    </row>
    <row r="15" spans="1:7" hidden="1" x14ac:dyDescent="0.2">
      <c r="A15" s="21">
        <f>+A14+31</f>
        <v>39234</v>
      </c>
      <c r="B15" s="36"/>
      <c r="C15" s="36">
        <v>98329</v>
      </c>
      <c r="D15" s="36"/>
      <c r="E15" s="36">
        <v>3883</v>
      </c>
      <c r="F15" s="36">
        <f t="shared" si="0"/>
        <v>102212</v>
      </c>
      <c r="G15" s="22"/>
    </row>
    <row r="16" spans="1:7" hidden="1" x14ac:dyDescent="0.2">
      <c r="A16" s="21">
        <f>+A15+30</f>
        <v>39264</v>
      </c>
      <c r="B16" s="36"/>
      <c r="C16" s="36">
        <v>97909</v>
      </c>
      <c r="D16" s="36"/>
      <c r="E16" s="36">
        <v>3807</v>
      </c>
      <c r="F16" s="36">
        <f t="shared" si="0"/>
        <v>101716</v>
      </c>
      <c r="G16" s="22"/>
    </row>
    <row r="17" spans="1:7" hidden="1" x14ac:dyDescent="0.2">
      <c r="A17" s="21">
        <f>+A16+31</f>
        <v>39295</v>
      </c>
      <c r="B17" s="36"/>
      <c r="C17" s="36">
        <v>97020</v>
      </c>
      <c r="D17" s="36"/>
      <c r="E17" s="36">
        <v>3728</v>
      </c>
      <c r="F17" s="36">
        <f t="shared" si="0"/>
        <v>100748</v>
      </c>
      <c r="G17" s="22"/>
    </row>
    <row r="18" spans="1:7" hidden="1" x14ac:dyDescent="0.2">
      <c r="A18" s="21">
        <f>+A17+31</f>
        <v>39326</v>
      </c>
      <c r="B18" s="36"/>
      <c r="C18" s="36">
        <v>95843</v>
      </c>
      <c r="D18" s="36"/>
      <c r="E18" s="36">
        <v>3660</v>
      </c>
      <c r="F18" s="36">
        <f t="shared" si="0"/>
        <v>99503</v>
      </c>
      <c r="G18" s="22"/>
    </row>
    <row r="19" spans="1:7" hidden="1" x14ac:dyDescent="0.2">
      <c r="A19" s="21">
        <f>+A18+30</f>
        <v>39356</v>
      </c>
      <c r="B19" s="36"/>
      <c r="C19" s="36">
        <v>94898</v>
      </c>
      <c r="D19" s="36"/>
      <c r="E19" s="36">
        <v>3632</v>
      </c>
      <c r="F19" s="36">
        <f t="shared" si="0"/>
        <v>98530</v>
      </c>
      <c r="G19" s="22"/>
    </row>
    <row r="20" spans="1:7" hidden="1" x14ac:dyDescent="0.2">
      <c r="A20" s="21">
        <f>+A19+31</f>
        <v>39387</v>
      </c>
      <c r="B20" s="36"/>
      <c r="C20" s="36">
        <v>96691</v>
      </c>
      <c r="D20" s="36"/>
      <c r="E20" s="36">
        <v>3772</v>
      </c>
      <c r="F20" s="36">
        <f t="shared" si="0"/>
        <v>100463</v>
      </c>
      <c r="G20" s="22"/>
    </row>
    <row r="21" spans="1:7" hidden="1" x14ac:dyDescent="0.2">
      <c r="A21" s="21">
        <f>+A20+30</f>
        <v>39417</v>
      </c>
      <c r="B21" s="36"/>
      <c r="C21" s="36">
        <v>98695</v>
      </c>
      <c r="D21" s="36"/>
      <c r="E21" s="36">
        <v>3883</v>
      </c>
      <c r="F21" s="36">
        <f t="shared" si="0"/>
        <v>102578</v>
      </c>
      <c r="G21" s="22"/>
    </row>
    <row r="22" spans="1:7" hidden="1" x14ac:dyDescent="0.2">
      <c r="A22" s="21">
        <f>+A21+31</f>
        <v>39448</v>
      </c>
      <c r="B22" s="36"/>
      <c r="C22" s="36">
        <v>101795</v>
      </c>
      <c r="D22" s="36"/>
      <c r="E22" s="36">
        <v>4046</v>
      </c>
      <c r="F22" s="36">
        <f t="shared" si="0"/>
        <v>105841</v>
      </c>
      <c r="G22" s="22"/>
    </row>
    <row r="23" spans="1:7" hidden="1" x14ac:dyDescent="0.2">
      <c r="A23" s="21">
        <f>+A22+31</f>
        <v>39479</v>
      </c>
      <c r="B23" s="36"/>
      <c r="C23" s="36">
        <v>104106</v>
      </c>
      <c r="D23" s="36"/>
      <c r="E23" s="36">
        <v>4191</v>
      </c>
      <c r="F23" s="36">
        <f t="shared" si="0"/>
        <v>108297</v>
      </c>
      <c r="G23" s="22"/>
    </row>
    <row r="24" spans="1:7" hidden="1" x14ac:dyDescent="0.2">
      <c r="A24" s="21">
        <f>+A23+29</f>
        <v>39508</v>
      </c>
      <c r="B24" s="36"/>
      <c r="C24" s="36">
        <v>108139</v>
      </c>
      <c r="D24" s="36"/>
      <c r="E24" s="36">
        <v>4352</v>
      </c>
      <c r="F24" s="36">
        <f t="shared" si="0"/>
        <v>112491</v>
      </c>
      <c r="G24" s="22"/>
    </row>
    <row r="25" spans="1:7" hidden="1" x14ac:dyDescent="0.2">
      <c r="A25" s="21">
        <f>+A24+31</f>
        <v>39539</v>
      </c>
      <c r="B25" s="36"/>
      <c r="C25" s="36">
        <v>107481</v>
      </c>
      <c r="D25" s="36"/>
      <c r="E25" s="36">
        <v>4323</v>
      </c>
      <c r="F25" s="36">
        <f t="shared" si="0"/>
        <v>111804</v>
      </c>
      <c r="G25" s="22"/>
    </row>
    <row r="26" spans="1:7" hidden="1" x14ac:dyDescent="0.2">
      <c r="A26" s="21">
        <f>+A25+30</f>
        <v>39569</v>
      </c>
      <c r="B26" s="36"/>
      <c r="C26" s="36">
        <v>108559</v>
      </c>
      <c r="D26" s="36"/>
      <c r="E26" s="36">
        <v>4282</v>
      </c>
      <c r="F26" s="36">
        <f t="shared" si="0"/>
        <v>112841</v>
      </c>
      <c r="G26" s="22"/>
    </row>
    <row r="27" spans="1:7" hidden="1" x14ac:dyDescent="0.2">
      <c r="A27" s="21">
        <f>+A26+31</f>
        <v>39600</v>
      </c>
      <c r="B27" s="36"/>
      <c r="C27" s="36">
        <v>108245</v>
      </c>
      <c r="D27" s="36"/>
      <c r="E27" s="36">
        <v>4235</v>
      </c>
      <c r="F27" s="36">
        <f t="shared" si="0"/>
        <v>112480</v>
      </c>
      <c r="G27" s="22"/>
    </row>
    <row r="28" spans="1:7" hidden="1" x14ac:dyDescent="0.2">
      <c r="A28" s="21">
        <f>+A27+30</f>
        <v>39630</v>
      </c>
      <c r="B28" s="36"/>
      <c r="C28" s="36">
        <v>104643</v>
      </c>
      <c r="D28" s="36"/>
      <c r="E28" s="36">
        <v>4019</v>
      </c>
      <c r="F28" s="36">
        <f t="shared" si="0"/>
        <v>108662</v>
      </c>
      <c r="G28" s="22"/>
    </row>
    <row r="29" spans="1:7" hidden="1" x14ac:dyDescent="0.2">
      <c r="A29" s="21">
        <v>39661</v>
      </c>
      <c r="B29" s="36"/>
      <c r="C29" s="36">
        <v>105001</v>
      </c>
      <c r="D29" s="36"/>
      <c r="E29" s="36">
        <v>3922</v>
      </c>
      <c r="F29" s="36">
        <f t="shared" si="0"/>
        <v>108923</v>
      </c>
      <c r="G29" s="22"/>
    </row>
    <row r="30" spans="1:7" hidden="1" x14ac:dyDescent="0.2">
      <c r="A30" s="21">
        <v>39692</v>
      </c>
      <c r="B30" s="36"/>
      <c r="C30" s="36">
        <v>103518</v>
      </c>
      <c r="D30" s="36"/>
      <c r="E30" s="36">
        <v>3868</v>
      </c>
      <c r="F30" s="36">
        <f t="shared" si="0"/>
        <v>107386</v>
      </c>
      <c r="G30" s="22"/>
    </row>
    <row r="31" spans="1:7" hidden="1" x14ac:dyDescent="0.2">
      <c r="A31" s="21">
        <v>39722</v>
      </c>
      <c r="B31" s="36"/>
      <c r="C31" s="36">
        <f>109273-3966</f>
        <v>105307</v>
      </c>
      <c r="D31" s="36"/>
      <c r="E31" s="36">
        <v>3966</v>
      </c>
      <c r="F31" s="36">
        <f t="shared" si="0"/>
        <v>109273</v>
      </c>
      <c r="G31" s="22"/>
    </row>
    <row r="32" spans="1:7" hidden="1" x14ac:dyDescent="0.2">
      <c r="A32" s="21">
        <v>39753</v>
      </c>
      <c r="B32" s="36"/>
      <c r="C32" s="36">
        <f>111775-4284</f>
        <v>107491</v>
      </c>
      <c r="D32" s="36"/>
      <c r="E32" s="36">
        <v>4284</v>
      </c>
      <c r="F32" s="36">
        <f t="shared" si="0"/>
        <v>111775</v>
      </c>
      <c r="G32" s="22"/>
    </row>
    <row r="33" spans="1:7" hidden="1" x14ac:dyDescent="0.2">
      <c r="A33" s="21">
        <v>39783</v>
      </c>
      <c r="B33" s="36"/>
      <c r="C33" s="36">
        <f>118670-4603</f>
        <v>114067</v>
      </c>
      <c r="D33" s="36"/>
      <c r="E33" s="36">
        <v>4603</v>
      </c>
      <c r="F33" s="36">
        <f t="shared" si="0"/>
        <v>118670</v>
      </c>
      <c r="G33" s="22"/>
    </row>
    <row r="34" spans="1:7" hidden="1" x14ac:dyDescent="0.2">
      <c r="A34" s="21">
        <v>39814</v>
      </c>
      <c r="B34" s="36"/>
      <c r="C34" s="36">
        <f>121454-4793</f>
        <v>116661</v>
      </c>
      <c r="D34" s="36"/>
      <c r="E34" s="36">
        <v>4793</v>
      </c>
      <c r="F34" s="36">
        <f t="shared" si="0"/>
        <v>121454</v>
      </c>
      <c r="G34" s="22"/>
    </row>
    <row r="35" spans="1:7" hidden="1" x14ac:dyDescent="0.2">
      <c r="A35" s="21">
        <v>39845</v>
      </c>
      <c r="B35" s="36"/>
      <c r="C35" s="36">
        <f>126088-5053</f>
        <v>121035</v>
      </c>
      <c r="D35" s="36"/>
      <c r="E35" s="36">
        <v>5053</v>
      </c>
      <c r="F35" s="36">
        <f t="shared" si="0"/>
        <v>126088</v>
      </c>
      <c r="G35" s="22"/>
    </row>
    <row r="36" spans="1:7" hidden="1" x14ac:dyDescent="0.2">
      <c r="A36" s="21">
        <v>39873</v>
      </c>
      <c r="B36" s="36"/>
      <c r="C36" s="36">
        <f>129843-5115</f>
        <v>124728</v>
      </c>
      <c r="D36" s="36"/>
      <c r="E36" s="36">
        <v>5115</v>
      </c>
      <c r="F36" s="36">
        <f t="shared" si="0"/>
        <v>129843</v>
      </c>
      <c r="G36" s="22"/>
    </row>
    <row r="37" spans="1:7" hidden="1" x14ac:dyDescent="0.2">
      <c r="A37" s="21">
        <v>39904</v>
      </c>
      <c r="B37" s="36">
        <v>0</v>
      </c>
      <c r="C37" s="36">
        <v>128320</v>
      </c>
      <c r="D37" s="36">
        <v>0</v>
      </c>
      <c r="E37" s="36">
        <v>3995</v>
      </c>
      <c r="F37" s="36">
        <f t="shared" si="0"/>
        <v>132315</v>
      </c>
      <c r="G37" s="22"/>
    </row>
    <row r="38" spans="1:7" hidden="1" x14ac:dyDescent="0.2">
      <c r="A38" s="21">
        <v>39934</v>
      </c>
      <c r="B38" s="36">
        <v>0</v>
      </c>
      <c r="C38" s="36">
        <v>117519</v>
      </c>
      <c r="D38" s="36">
        <v>0</v>
      </c>
      <c r="E38" s="36">
        <v>4894</v>
      </c>
      <c r="F38" s="36">
        <f t="shared" si="0"/>
        <v>122413</v>
      </c>
      <c r="G38" s="22"/>
    </row>
    <row r="39" spans="1:7" hidden="1" x14ac:dyDescent="0.2">
      <c r="A39" s="21">
        <v>39965</v>
      </c>
      <c r="B39" s="36">
        <v>1506</v>
      </c>
      <c r="C39" s="36">
        <v>124593</v>
      </c>
      <c r="D39" s="36">
        <v>87</v>
      </c>
      <c r="E39" s="36">
        <v>5091</v>
      </c>
      <c r="F39" s="36">
        <f t="shared" si="0"/>
        <v>131277</v>
      </c>
      <c r="G39" s="22"/>
    </row>
    <row r="40" spans="1:7" hidden="1" x14ac:dyDescent="0.2">
      <c r="A40" s="21">
        <v>39995</v>
      </c>
      <c r="B40" s="36">
        <f>2313-1924</f>
        <v>389</v>
      </c>
      <c r="C40" s="36">
        <f>137681-13404</f>
        <v>124277</v>
      </c>
      <c r="D40" s="36">
        <f>106-83</f>
        <v>23</v>
      </c>
      <c r="E40" s="36">
        <f>5700-728</f>
        <v>4972</v>
      </c>
      <c r="F40" s="36">
        <f t="shared" si="0"/>
        <v>129661</v>
      </c>
      <c r="G40" s="22"/>
    </row>
    <row r="41" spans="1:7" hidden="1" x14ac:dyDescent="0.2">
      <c r="A41" s="21">
        <v>40026</v>
      </c>
      <c r="B41" s="36">
        <f>1045-639</f>
        <v>406</v>
      </c>
      <c r="C41" s="36">
        <f>138308-13404</f>
        <v>124904</v>
      </c>
      <c r="D41" s="36">
        <f>65-34</f>
        <v>31</v>
      </c>
      <c r="E41" s="36">
        <f>5619-714</f>
        <v>4905</v>
      </c>
      <c r="F41" s="36">
        <f t="shared" si="0"/>
        <v>130246</v>
      </c>
      <c r="G41" s="22"/>
    </row>
    <row r="42" spans="1:7" hidden="1" x14ac:dyDescent="0.2">
      <c r="A42" s="21">
        <v>40057</v>
      </c>
      <c r="B42" s="36">
        <v>364</v>
      </c>
      <c r="C42" s="36">
        <v>120880</v>
      </c>
      <c r="D42" s="36">
        <v>22</v>
      </c>
      <c r="E42" s="36">
        <v>4666</v>
      </c>
      <c r="F42" s="36">
        <f t="shared" si="0"/>
        <v>125932</v>
      </c>
      <c r="G42" s="22"/>
    </row>
    <row r="43" spans="1:7" hidden="1" x14ac:dyDescent="0.2">
      <c r="A43" s="21">
        <v>40087</v>
      </c>
      <c r="B43" s="36">
        <v>462</v>
      </c>
      <c r="C43" s="36">
        <v>119689</v>
      </c>
      <c r="D43" s="36">
        <v>27</v>
      </c>
      <c r="E43" s="36">
        <v>4647</v>
      </c>
      <c r="F43" s="36">
        <f t="shared" si="0"/>
        <v>124825</v>
      </c>
      <c r="G43" s="22"/>
    </row>
    <row r="44" spans="1:7" hidden="1" x14ac:dyDescent="0.2">
      <c r="A44" s="21">
        <v>40118</v>
      </c>
      <c r="B44" s="36">
        <v>800</v>
      </c>
      <c r="C44" s="36">
        <v>120007</v>
      </c>
      <c r="D44" s="36">
        <v>47</v>
      </c>
      <c r="E44" s="36">
        <v>4840</v>
      </c>
      <c r="F44" s="36">
        <f t="shared" si="0"/>
        <v>125694</v>
      </c>
      <c r="G44" s="22"/>
    </row>
    <row r="45" spans="1:7" hidden="1" x14ac:dyDescent="0.2">
      <c r="A45" s="21">
        <v>40148</v>
      </c>
      <c r="B45" s="36">
        <v>1157</v>
      </c>
      <c r="C45" s="36">
        <v>123298</v>
      </c>
      <c r="D45" s="36">
        <v>77</v>
      </c>
      <c r="E45" s="36">
        <v>5101</v>
      </c>
      <c r="F45" s="36">
        <f t="shared" si="0"/>
        <v>129633</v>
      </c>
      <c r="G45" s="22"/>
    </row>
    <row r="46" spans="1:7" hidden="1" x14ac:dyDescent="0.2">
      <c r="A46" s="21">
        <v>40179</v>
      </c>
      <c r="B46" s="36">
        <v>1030</v>
      </c>
      <c r="C46" s="36">
        <v>124119</v>
      </c>
      <c r="D46" s="36">
        <v>57</v>
      </c>
      <c r="E46" s="36">
        <v>5205</v>
      </c>
      <c r="F46" s="36">
        <f t="shared" si="0"/>
        <v>130411</v>
      </c>
      <c r="G46" s="22"/>
    </row>
    <row r="47" spans="1:7" hidden="1" x14ac:dyDescent="0.2">
      <c r="A47" s="21">
        <v>40210</v>
      </c>
      <c r="B47" s="36">
        <v>1034</v>
      </c>
      <c r="C47" s="36">
        <v>124059</v>
      </c>
      <c r="D47" s="36">
        <v>54</v>
      </c>
      <c r="E47" s="36">
        <v>5232</v>
      </c>
      <c r="F47" s="36">
        <f t="shared" si="0"/>
        <v>130379</v>
      </c>
      <c r="G47" s="22"/>
    </row>
    <row r="48" spans="1:7" hidden="1" x14ac:dyDescent="0.2">
      <c r="A48" s="21">
        <v>40238</v>
      </c>
      <c r="B48" s="36">
        <v>582</v>
      </c>
      <c r="C48" s="36">
        <v>125301</v>
      </c>
      <c r="D48" s="36">
        <v>30</v>
      </c>
      <c r="E48" s="36">
        <v>5215</v>
      </c>
      <c r="F48" s="36">
        <f t="shared" si="0"/>
        <v>131128</v>
      </c>
      <c r="G48" s="22"/>
    </row>
    <row r="49" spans="1:7" hidden="1" x14ac:dyDescent="0.2">
      <c r="A49" s="21">
        <v>40269</v>
      </c>
      <c r="B49" s="36">
        <v>1031</v>
      </c>
      <c r="C49" s="36">
        <v>135530</v>
      </c>
      <c r="D49" s="36">
        <v>74</v>
      </c>
      <c r="E49" s="36">
        <v>5706</v>
      </c>
      <c r="F49" s="36">
        <f t="shared" si="0"/>
        <v>142341</v>
      </c>
      <c r="G49" s="22"/>
    </row>
    <row r="50" spans="1:7" hidden="1" x14ac:dyDescent="0.2">
      <c r="A50" s="21">
        <v>40299</v>
      </c>
      <c r="B50" s="36">
        <v>689</v>
      </c>
      <c r="C50" s="36">
        <v>127472</v>
      </c>
      <c r="D50" s="36">
        <v>67</v>
      </c>
      <c r="E50" s="36">
        <v>5475</v>
      </c>
      <c r="F50" s="36">
        <f t="shared" si="0"/>
        <v>133703</v>
      </c>
      <c r="G50" s="22"/>
    </row>
    <row r="51" spans="1:7" hidden="1" x14ac:dyDescent="0.2">
      <c r="A51" s="21">
        <v>40330</v>
      </c>
      <c r="B51" s="36">
        <v>769</v>
      </c>
      <c r="C51" s="36">
        <v>136854</v>
      </c>
      <c r="D51" s="36">
        <v>32</v>
      </c>
      <c r="E51" s="36">
        <v>5430</v>
      </c>
      <c r="F51" s="36">
        <f t="shared" si="0"/>
        <v>143085</v>
      </c>
      <c r="G51" s="22"/>
    </row>
    <row r="52" spans="1:7" hidden="1" x14ac:dyDescent="0.2">
      <c r="A52" s="21">
        <v>40360</v>
      </c>
      <c r="B52" s="36">
        <v>1090</v>
      </c>
      <c r="C52" s="36">
        <v>136331</v>
      </c>
      <c r="D52" s="36">
        <v>44</v>
      </c>
      <c r="E52" s="36">
        <v>5454</v>
      </c>
      <c r="F52" s="36">
        <f t="shared" si="0"/>
        <v>142919</v>
      </c>
      <c r="G52" s="22"/>
    </row>
    <row r="53" spans="1:7" hidden="1" x14ac:dyDescent="0.2">
      <c r="A53" s="21">
        <v>40391</v>
      </c>
      <c r="B53" s="36">
        <v>971</v>
      </c>
      <c r="C53" s="36">
        <v>134217</v>
      </c>
      <c r="D53" s="36">
        <v>47</v>
      </c>
      <c r="E53" s="36">
        <v>5325</v>
      </c>
      <c r="F53" s="36">
        <f t="shared" si="0"/>
        <v>140560</v>
      </c>
      <c r="G53" s="22"/>
    </row>
    <row r="54" spans="1:7" hidden="1" x14ac:dyDescent="0.2">
      <c r="A54" s="21">
        <v>40422</v>
      </c>
      <c r="B54" s="36">
        <v>726</v>
      </c>
      <c r="C54" s="36">
        <v>129918</v>
      </c>
      <c r="D54" s="36">
        <v>51</v>
      </c>
      <c r="E54" s="36">
        <v>5194</v>
      </c>
      <c r="F54" s="36">
        <f t="shared" si="0"/>
        <v>135889</v>
      </c>
      <c r="G54" s="22"/>
    </row>
    <row r="55" spans="1:7" hidden="1" x14ac:dyDescent="0.2">
      <c r="A55" s="21">
        <v>40452</v>
      </c>
      <c r="B55" s="36">
        <v>1007</v>
      </c>
      <c r="C55" s="36">
        <v>131122</v>
      </c>
      <c r="D55" s="36">
        <v>59</v>
      </c>
      <c r="E55" s="36">
        <v>5149</v>
      </c>
      <c r="F55" s="36">
        <f t="shared" si="0"/>
        <v>137337</v>
      </c>
      <c r="G55" s="22"/>
    </row>
    <row r="56" spans="1:7" hidden="1" x14ac:dyDescent="0.2">
      <c r="A56" s="21">
        <v>40483</v>
      </c>
      <c r="B56" s="36">
        <v>1716</v>
      </c>
      <c r="C56" s="36">
        <v>134723</v>
      </c>
      <c r="D56" s="36">
        <v>92</v>
      </c>
      <c r="E56" s="36">
        <v>5683</v>
      </c>
      <c r="F56" s="36">
        <f t="shared" si="0"/>
        <v>142214</v>
      </c>
      <c r="G56" s="22"/>
    </row>
    <row r="57" spans="1:7" hidden="1" x14ac:dyDescent="0.2">
      <c r="A57" s="21">
        <v>40513</v>
      </c>
      <c r="B57" s="36">
        <v>2199</v>
      </c>
      <c r="C57" s="36">
        <v>135661</v>
      </c>
      <c r="D57" s="36">
        <v>158</v>
      </c>
      <c r="E57" s="36">
        <v>6148</v>
      </c>
      <c r="F57" s="36">
        <f t="shared" si="0"/>
        <v>144166</v>
      </c>
      <c r="G57" s="22"/>
    </row>
    <row r="58" spans="1:7" hidden="1" x14ac:dyDescent="0.2">
      <c r="A58" s="21">
        <v>40544</v>
      </c>
      <c r="B58" s="36">
        <v>2425</v>
      </c>
      <c r="C58" s="36">
        <v>135784</v>
      </c>
      <c r="D58" s="36">
        <v>161</v>
      </c>
      <c r="E58" s="36">
        <v>6258</v>
      </c>
      <c r="F58" s="36">
        <f t="shared" si="0"/>
        <v>144628</v>
      </c>
      <c r="G58" s="22"/>
    </row>
    <row r="59" spans="1:7" hidden="1" x14ac:dyDescent="0.2">
      <c r="A59" s="21">
        <v>40575</v>
      </c>
      <c r="B59" s="36">
        <v>1937</v>
      </c>
      <c r="C59" s="36">
        <v>131046</v>
      </c>
      <c r="D59" s="36">
        <v>86</v>
      </c>
      <c r="E59" s="36">
        <v>5917</v>
      </c>
      <c r="F59" s="36">
        <f t="shared" si="0"/>
        <v>138986</v>
      </c>
      <c r="G59" s="22"/>
    </row>
    <row r="60" spans="1:7" hidden="1" x14ac:dyDescent="0.2">
      <c r="A60" s="21">
        <v>40603</v>
      </c>
      <c r="B60" s="36">
        <v>1393</v>
      </c>
      <c r="C60" s="36">
        <v>128135</v>
      </c>
      <c r="D60" s="36">
        <v>75</v>
      </c>
      <c r="E60" s="36">
        <v>5606</v>
      </c>
      <c r="F60" s="36">
        <f t="shared" si="0"/>
        <v>135209</v>
      </c>
      <c r="G60" s="22"/>
    </row>
    <row r="61" spans="1:7" hidden="1" x14ac:dyDescent="0.2">
      <c r="A61" s="21">
        <v>40634</v>
      </c>
      <c r="B61" s="36">
        <v>1376</v>
      </c>
      <c r="C61" s="36">
        <v>130465</v>
      </c>
      <c r="D61" s="36">
        <v>59</v>
      </c>
      <c r="E61" s="36">
        <v>5744</v>
      </c>
      <c r="F61" s="36">
        <f t="shared" si="0"/>
        <v>137644</v>
      </c>
      <c r="G61" s="22"/>
    </row>
    <row r="62" spans="1:7" hidden="1" x14ac:dyDescent="0.2">
      <c r="A62" s="21">
        <v>40664</v>
      </c>
      <c r="B62" s="36">
        <v>756</v>
      </c>
      <c r="C62" s="36">
        <v>119524</v>
      </c>
      <c r="D62" s="36">
        <v>36</v>
      </c>
      <c r="E62" s="36">
        <v>5285</v>
      </c>
      <c r="F62" s="36">
        <f t="shared" si="0"/>
        <v>125601</v>
      </c>
      <c r="G62" s="22"/>
    </row>
    <row r="63" spans="1:7" hidden="1" x14ac:dyDescent="0.2">
      <c r="A63" s="21">
        <v>40695</v>
      </c>
      <c r="B63" s="36">
        <v>716</v>
      </c>
      <c r="C63" s="36">
        <v>124815</v>
      </c>
      <c r="D63" s="36">
        <v>39</v>
      </c>
      <c r="E63" s="36">
        <v>5335</v>
      </c>
      <c r="F63" s="36">
        <f t="shared" si="0"/>
        <v>130905</v>
      </c>
      <c r="G63" s="22"/>
    </row>
    <row r="64" spans="1:7" hidden="1" x14ac:dyDescent="0.2">
      <c r="A64" s="21">
        <v>40725</v>
      </c>
      <c r="B64" s="36">
        <v>852</v>
      </c>
      <c r="C64" s="36">
        <v>126243</v>
      </c>
      <c r="D64" s="36">
        <v>36</v>
      </c>
      <c r="E64" s="36">
        <v>5430</v>
      </c>
      <c r="F64" s="36">
        <f t="shared" si="0"/>
        <v>132561</v>
      </c>
      <c r="G64" s="22"/>
    </row>
    <row r="65" spans="1:7" hidden="1" x14ac:dyDescent="0.2">
      <c r="A65" s="21">
        <v>40756</v>
      </c>
      <c r="B65" s="36">
        <v>829</v>
      </c>
      <c r="C65" s="36">
        <v>125915</v>
      </c>
      <c r="D65" s="36">
        <v>44</v>
      </c>
      <c r="E65" s="36">
        <v>5338</v>
      </c>
      <c r="F65" s="36">
        <f t="shared" si="0"/>
        <v>132126</v>
      </c>
      <c r="G65" s="22"/>
    </row>
    <row r="66" spans="1:7" hidden="1" x14ac:dyDescent="0.2">
      <c r="A66" s="21">
        <v>40787</v>
      </c>
      <c r="B66" s="36">
        <v>794</v>
      </c>
      <c r="C66" s="36">
        <v>126153</v>
      </c>
      <c r="D66" s="36">
        <v>48</v>
      </c>
      <c r="E66" s="36">
        <v>5282</v>
      </c>
      <c r="F66" s="36">
        <f t="shared" si="0"/>
        <v>132277</v>
      </c>
      <c r="G66" s="22"/>
    </row>
    <row r="67" spans="1:7" hidden="1" x14ac:dyDescent="0.2">
      <c r="A67" s="21">
        <v>41183</v>
      </c>
      <c r="B67" s="36">
        <v>808</v>
      </c>
      <c r="C67" s="36">
        <v>128180</v>
      </c>
      <c r="D67" s="36">
        <v>51</v>
      </c>
      <c r="E67" s="36">
        <v>5461</v>
      </c>
      <c r="F67" s="36">
        <f t="shared" si="0"/>
        <v>134500</v>
      </c>
      <c r="G67" s="22"/>
    </row>
    <row r="68" spans="1:7" hidden="1" x14ac:dyDescent="0.2">
      <c r="A68" s="21">
        <v>40848</v>
      </c>
      <c r="B68" s="36">
        <v>1513</v>
      </c>
      <c r="C68" s="36">
        <v>133961</v>
      </c>
      <c r="D68" s="36">
        <v>99</v>
      </c>
      <c r="E68" s="36">
        <v>6025</v>
      </c>
      <c r="F68" s="36">
        <f t="shared" si="0"/>
        <v>141598</v>
      </c>
      <c r="G68" s="22"/>
    </row>
    <row r="69" spans="1:7" hidden="1" x14ac:dyDescent="0.2">
      <c r="A69" s="21">
        <v>40878</v>
      </c>
      <c r="B69" s="36">
        <v>2541</v>
      </c>
      <c r="C69" s="36">
        <v>142762</v>
      </c>
      <c r="D69" s="36">
        <v>155</v>
      </c>
      <c r="E69" s="36">
        <v>6727</v>
      </c>
      <c r="F69" s="36">
        <f t="shared" si="0"/>
        <v>152185</v>
      </c>
      <c r="G69" s="22"/>
    </row>
    <row r="70" spans="1:7" hidden="1" x14ac:dyDescent="0.2">
      <c r="A70" s="21">
        <v>40909</v>
      </c>
      <c r="B70" s="36">
        <v>2697</v>
      </c>
      <c r="C70" s="36">
        <v>140753</v>
      </c>
      <c r="D70" s="36">
        <v>145</v>
      </c>
      <c r="E70" s="36">
        <v>6582</v>
      </c>
      <c r="F70" s="36">
        <f t="shared" si="0"/>
        <v>150177</v>
      </c>
      <c r="G70" s="22"/>
    </row>
    <row r="71" spans="1:7" hidden="1" x14ac:dyDescent="0.2">
      <c r="A71" s="21">
        <v>40940</v>
      </c>
      <c r="B71" s="36">
        <v>2336</v>
      </c>
      <c r="C71" s="36">
        <v>134719</v>
      </c>
      <c r="D71" s="36">
        <v>117</v>
      </c>
      <c r="E71" s="36">
        <v>6237</v>
      </c>
      <c r="F71" s="36">
        <f t="shared" si="0"/>
        <v>143409</v>
      </c>
      <c r="G71" s="22"/>
    </row>
    <row r="72" spans="1:7" hidden="1" x14ac:dyDescent="0.2">
      <c r="A72" s="21">
        <v>40969</v>
      </c>
      <c r="B72" s="36">
        <v>1810</v>
      </c>
      <c r="C72" s="36">
        <v>131224</v>
      </c>
      <c r="D72" s="36">
        <v>103</v>
      </c>
      <c r="E72" s="36">
        <v>5856</v>
      </c>
      <c r="F72" s="36">
        <f t="shared" si="0"/>
        <v>138993</v>
      </c>
      <c r="G72" s="22"/>
    </row>
    <row r="73" spans="1:7" hidden="1" x14ac:dyDescent="0.2">
      <c r="A73" s="21">
        <v>41000</v>
      </c>
      <c r="B73" s="36">
        <v>1580</v>
      </c>
      <c r="C73" s="36">
        <v>131508</v>
      </c>
      <c r="D73" s="36">
        <v>91</v>
      </c>
      <c r="E73" s="36">
        <v>5922</v>
      </c>
      <c r="F73" s="36">
        <f t="shared" ref="F73:F78" si="1">SUM(B73:E73)</f>
        <v>139101</v>
      </c>
      <c r="G73" s="22"/>
    </row>
    <row r="74" spans="1:7" hidden="1" x14ac:dyDescent="0.2">
      <c r="A74" s="21">
        <v>41030</v>
      </c>
      <c r="B74" s="36">
        <v>1015</v>
      </c>
      <c r="C74" s="36">
        <v>111672</v>
      </c>
      <c r="D74" s="36">
        <v>58</v>
      </c>
      <c r="E74" s="36">
        <v>5159</v>
      </c>
      <c r="F74" s="36">
        <f t="shared" si="1"/>
        <v>117904</v>
      </c>
      <c r="G74" s="22"/>
    </row>
    <row r="75" spans="1:7" hidden="1" x14ac:dyDescent="0.2">
      <c r="A75" s="21">
        <v>41061</v>
      </c>
      <c r="B75" s="36">
        <v>1154</v>
      </c>
      <c r="C75" s="36">
        <v>122607</v>
      </c>
      <c r="D75" s="36">
        <v>43</v>
      </c>
      <c r="E75" s="36">
        <v>4860</v>
      </c>
      <c r="F75" s="36">
        <f t="shared" si="1"/>
        <v>128664</v>
      </c>
      <c r="G75" s="22"/>
    </row>
    <row r="76" spans="1:7" hidden="1" x14ac:dyDescent="0.2">
      <c r="A76" s="21">
        <v>41091</v>
      </c>
      <c r="B76" s="36">
        <v>1398</v>
      </c>
      <c r="C76" s="36">
        <v>124221</v>
      </c>
      <c r="D76" s="36">
        <v>52</v>
      </c>
      <c r="E76" s="36">
        <v>5056</v>
      </c>
      <c r="F76" s="36">
        <f t="shared" si="1"/>
        <v>130727</v>
      </c>
      <c r="G76" s="22"/>
    </row>
    <row r="77" spans="1:7" hidden="1" x14ac:dyDescent="0.2">
      <c r="A77" s="21">
        <v>41122</v>
      </c>
      <c r="B77" s="36">
        <v>972</v>
      </c>
      <c r="C77" s="36">
        <v>121508</v>
      </c>
      <c r="D77" s="36">
        <v>62</v>
      </c>
      <c r="E77" s="36">
        <v>5122</v>
      </c>
      <c r="F77" s="36">
        <f t="shared" si="1"/>
        <v>127664</v>
      </c>
      <c r="G77" s="22"/>
    </row>
    <row r="78" spans="1:7" hidden="1" x14ac:dyDescent="0.2">
      <c r="A78" s="21">
        <v>41153</v>
      </c>
      <c r="B78" s="36">
        <v>1120</v>
      </c>
      <c r="C78" s="36">
        <v>124884</v>
      </c>
      <c r="D78" s="36">
        <v>60</v>
      </c>
      <c r="E78" s="36">
        <v>5197</v>
      </c>
      <c r="F78" s="36">
        <f t="shared" si="1"/>
        <v>131261</v>
      </c>
      <c r="G78" s="22"/>
    </row>
    <row r="79" spans="1:7" hidden="1" x14ac:dyDescent="0.2">
      <c r="A79" s="21">
        <v>41183</v>
      </c>
      <c r="B79" s="36">
        <v>963</v>
      </c>
      <c r="C79" s="36">
        <v>121555</v>
      </c>
      <c r="D79" s="36">
        <v>61</v>
      </c>
      <c r="E79" s="36">
        <v>5049</v>
      </c>
      <c r="F79" s="36">
        <f t="shared" ref="F79:F88" si="2">SUM(B79:E79)</f>
        <v>127628</v>
      </c>
      <c r="G79" s="22"/>
    </row>
    <row r="80" spans="1:7" hidden="1" x14ac:dyDescent="0.2">
      <c r="A80" s="21">
        <v>41214</v>
      </c>
      <c r="B80" s="36">
        <v>1719</v>
      </c>
      <c r="C80" s="36">
        <v>123926</v>
      </c>
      <c r="D80" s="36">
        <v>114</v>
      </c>
      <c r="E80" s="36">
        <v>5623</v>
      </c>
      <c r="F80" s="36">
        <f t="shared" si="2"/>
        <v>131382</v>
      </c>
      <c r="G80" s="22"/>
    </row>
    <row r="81" spans="1:7" hidden="1" x14ac:dyDescent="0.2">
      <c r="A81" s="21">
        <v>41244</v>
      </c>
      <c r="B81" s="36">
        <v>2423</v>
      </c>
      <c r="C81" s="36">
        <v>129290</v>
      </c>
      <c r="D81" s="36">
        <v>168</v>
      </c>
      <c r="E81" s="36">
        <v>6101</v>
      </c>
      <c r="F81" s="36">
        <f t="shared" si="2"/>
        <v>137982</v>
      </c>
      <c r="G81" s="22"/>
    </row>
    <row r="82" spans="1:7" hidden="1" x14ac:dyDescent="0.2">
      <c r="A82" s="21">
        <v>41275</v>
      </c>
      <c r="B82" s="36">
        <v>2694</v>
      </c>
      <c r="C82" s="36">
        <v>131790</v>
      </c>
      <c r="D82" s="36">
        <v>186</v>
      </c>
      <c r="E82" s="36">
        <v>6248</v>
      </c>
      <c r="F82" s="36">
        <f t="shared" si="2"/>
        <v>140918</v>
      </c>
      <c r="G82" s="22"/>
    </row>
    <row r="83" spans="1:7" hidden="1" x14ac:dyDescent="0.2">
      <c r="A83" s="21">
        <v>41306</v>
      </c>
      <c r="B83" s="36">
        <v>2312</v>
      </c>
      <c r="C83" s="36">
        <v>128980</v>
      </c>
      <c r="D83" s="36">
        <v>125</v>
      </c>
      <c r="E83" s="36">
        <v>5722</v>
      </c>
      <c r="F83" s="36">
        <f t="shared" si="2"/>
        <v>137139</v>
      </c>
      <c r="G83" s="22"/>
    </row>
    <row r="84" spans="1:7" hidden="1" x14ac:dyDescent="0.2">
      <c r="A84" s="21">
        <v>41334</v>
      </c>
      <c r="B84" s="36">
        <v>1834</v>
      </c>
      <c r="C84" s="36">
        <v>124886</v>
      </c>
      <c r="D84" s="36">
        <v>105</v>
      </c>
      <c r="E84" s="36">
        <v>5369</v>
      </c>
      <c r="F84" s="36">
        <f t="shared" si="2"/>
        <v>132194</v>
      </c>
      <c r="G84" s="22"/>
    </row>
    <row r="85" spans="1:7" hidden="1" x14ac:dyDescent="0.2">
      <c r="A85" s="21">
        <v>41365</v>
      </c>
      <c r="B85" s="36">
        <v>1697</v>
      </c>
      <c r="C85" s="36">
        <v>127811</v>
      </c>
      <c r="D85" s="36">
        <v>99</v>
      </c>
      <c r="E85" s="36">
        <v>5679</v>
      </c>
      <c r="F85" s="36">
        <f t="shared" si="2"/>
        <v>135286</v>
      </c>
      <c r="G85" s="22"/>
    </row>
    <row r="86" spans="1:7" hidden="1" x14ac:dyDescent="0.2">
      <c r="A86" s="21">
        <v>41395</v>
      </c>
      <c r="B86" s="36">
        <v>957</v>
      </c>
      <c r="C86" s="36">
        <v>109906</v>
      </c>
      <c r="D86" s="36">
        <v>65</v>
      </c>
      <c r="E86" s="36">
        <v>5527</v>
      </c>
      <c r="F86" s="36">
        <f t="shared" si="2"/>
        <v>116455</v>
      </c>
      <c r="G86" s="22"/>
    </row>
    <row r="87" spans="1:7" hidden="1" x14ac:dyDescent="0.2">
      <c r="A87" s="21">
        <v>41426</v>
      </c>
      <c r="B87" s="36">
        <v>542</v>
      </c>
      <c r="C87" s="36">
        <v>118127</v>
      </c>
      <c r="D87" s="36">
        <v>32</v>
      </c>
      <c r="E87" s="36">
        <v>4644</v>
      </c>
      <c r="F87" s="36">
        <f t="shared" si="2"/>
        <v>123345</v>
      </c>
      <c r="G87" s="22"/>
    </row>
    <row r="88" spans="1:7" hidden="1" x14ac:dyDescent="0.2">
      <c r="A88" s="21">
        <v>41456</v>
      </c>
      <c r="B88" s="36">
        <v>1052</v>
      </c>
      <c r="C88" s="36">
        <v>118979</v>
      </c>
      <c r="D88" s="36">
        <v>61</v>
      </c>
      <c r="E88" s="36">
        <v>4976</v>
      </c>
      <c r="F88" s="36">
        <f t="shared" si="2"/>
        <v>125068</v>
      </c>
      <c r="G88" s="22"/>
    </row>
    <row r="89" spans="1:7" hidden="1" x14ac:dyDescent="0.2">
      <c r="A89" s="21">
        <v>41487</v>
      </c>
      <c r="B89" s="36">
        <v>983</v>
      </c>
      <c r="C89" s="36">
        <v>117545</v>
      </c>
      <c r="D89" s="36">
        <v>49</v>
      </c>
      <c r="E89" s="36">
        <v>4882</v>
      </c>
      <c r="F89" s="36">
        <f>SUM(B89:E89)</f>
        <v>123459</v>
      </c>
      <c r="G89" s="22"/>
    </row>
    <row r="90" spans="1:7" hidden="1" x14ac:dyDescent="0.2">
      <c r="A90" s="21">
        <v>41518</v>
      </c>
      <c r="B90" s="36">
        <v>931</v>
      </c>
      <c r="C90" s="36">
        <v>119246</v>
      </c>
      <c r="D90" s="36">
        <v>60</v>
      </c>
      <c r="E90" s="36">
        <v>4790</v>
      </c>
      <c r="F90" s="36">
        <f t="shared" ref="F90:F153" si="3">SUM(B90:E90)</f>
        <v>125027</v>
      </c>
      <c r="G90" s="22"/>
    </row>
    <row r="91" spans="1:7" hidden="1" x14ac:dyDescent="0.2">
      <c r="A91" s="21">
        <v>41548</v>
      </c>
      <c r="B91" s="36">
        <v>990</v>
      </c>
      <c r="C91" s="36">
        <v>117601</v>
      </c>
      <c r="D91" s="36">
        <v>68</v>
      </c>
      <c r="E91" s="36">
        <v>4915</v>
      </c>
      <c r="F91" s="36">
        <f t="shared" si="3"/>
        <v>123574</v>
      </c>
      <c r="G91" s="22"/>
    </row>
    <row r="92" spans="1:7" hidden="1" x14ac:dyDescent="0.2">
      <c r="A92" s="21">
        <v>41579</v>
      </c>
      <c r="B92" s="36">
        <v>1774</v>
      </c>
      <c r="C92" s="36">
        <v>120262</v>
      </c>
      <c r="D92" s="36">
        <v>123</v>
      </c>
      <c r="E92" s="36">
        <v>5571</v>
      </c>
      <c r="F92" s="36">
        <f t="shared" si="3"/>
        <v>127730</v>
      </c>
      <c r="G92" s="22"/>
    </row>
    <row r="93" spans="1:7" hidden="1" x14ac:dyDescent="0.2">
      <c r="A93" s="21">
        <v>41609</v>
      </c>
      <c r="B93" s="36">
        <v>2977</v>
      </c>
      <c r="C93" s="36">
        <v>129209</v>
      </c>
      <c r="D93" s="36">
        <v>194</v>
      </c>
      <c r="E93" s="36">
        <v>6307</v>
      </c>
      <c r="F93" s="36">
        <f t="shared" si="3"/>
        <v>138687</v>
      </c>
      <c r="G93" s="22"/>
    </row>
    <row r="94" spans="1:7" hidden="1" x14ac:dyDescent="0.2">
      <c r="A94" s="21">
        <v>41640</v>
      </c>
      <c r="B94" s="36">
        <v>2021</v>
      </c>
      <c r="C94" s="36">
        <v>122408</v>
      </c>
      <c r="D94" s="36">
        <v>90</v>
      </c>
      <c r="E94" s="36">
        <v>5163</v>
      </c>
      <c r="F94" s="36">
        <f t="shared" si="3"/>
        <v>129682</v>
      </c>
      <c r="G94" s="22"/>
    </row>
    <row r="95" spans="1:7" hidden="1" x14ac:dyDescent="0.2">
      <c r="A95" s="21">
        <v>41671</v>
      </c>
      <c r="B95" s="36">
        <v>1824</v>
      </c>
      <c r="C95" s="36">
        <v>120608</v>
      </c>
      <c r="D95" s="36">
        <v>75</v>
      </c>
      <c r="E95" s="36">
        <v>4988</v>
      </c>
      <c r="F95" s="36">
        <f t="shared" si="3"/>
        <v>127495</v>
      </c>
    </row>
    <row r="96" spans="1:7" hidden="1" x14ac:dyDescent="0.2">
      <c r="A96" s="21">
        <v>41699</v>
      </c>
      <c r="B96" s="36">
        <v>1532</v>
      </c>
      <c r="C96" s="36">
        <v>120510</v>
      </c>
      <c r="D96" s="36">
        <v>76</v>
      </c>
      <c r="E96" s="36">
        <v>5444</v>
      </c>
      <c r="F96" s="36">
        <f t="shared" si="3"/>
        <v>127562</v>
      </c>
    </row>
    <row r="97" spans="1:6" hidden="1" x14ac:dyDescent="0.2">
      <c r="A97" s="21">
        <v>41730</v>
      </c>
      <c r="B97" s="36">
        <v>2386</v>
      </c>
      <c r="C97" s="36">
        <v>116577</v>
      </c>
      <c r="D97" s="36">
        <v>130</v>
      </c>
      <c r="E97" s="36">
        <v>3983</v>
      </c>
      <c r="F97" s="36">
        <f t="shared" si="3"/>
        <v>123076</v>
      </c>
    </row>
    <row r="98" spans="1:6" hidden="1" x14ac:dyDescent="0.2">
      <c r="A98" s="21">
        <v>41760</v>
      </c>
      <c r="B98" s="36">
        <v>2386</v>
      </c>
      <c r="C98" s="36">
        <v>123822</v>
      </c>
      <c r="D98" s="36">
        <v>103</v>
      </c>
      <c r="E98" s="36">
        <v>4571</v>
      </c>
      <c r="F98" s="36">
        <f t="shared" si="3"/>
        <v>130882</v>
      </c>
    </row>
    <row r="99" spans="1:6" hidden="1" x14ac:dyDescent="0.2">
      <c r="A99" s="21">
        <v>41791</v>
      </c>
      <c r="B99" s="36">
        <v>1216</v>
      </c>
      <c r="C99" s="36">
        <v>116683</v>
      </c>
      <c r="D99" s="36">
        <v>45</v>
      </c>
      <c r="E99" s="36">
        <v>4645</v>
      </c>
      <c r="F99" s="36">
        <f t="shared" si="3"/>
        <v>122589</v>
      </c>
    </row>
    <row r="100" spans="1:6" hidden="1" x14ac:dyDescent="0.2">
      <c r="A100" s="21">
        <v>41821</v>
      </c>
      <c r="B100" s="36">
        <v>852</v>
      </c>
      <c r="C100" s="36">
        <v>112842</v>
      </c>
      <c r="D100" s="36">
        <v>52</v>
      </c>
      <c r="E100" s="36">
        <v>4591</v>
      </c>
      <c r="F100" s="36">
        <f t="shared" si="3"/>
        <v>118337</v>
      </c>
    </row>
    <row r="101" spans="1:6" hidden="1" x14ac:dyDescent="0.2">
      <c r="A101" s="21">
        <v>41852</v>
      </c>
      <c r="B101" s="36">
        <v>857</v>
      </c>
      <c r="C101" s="36">
        <v>115346</v>
      </c>
      <c r="D101" s="36">
        <v>50</v>
      </c>
      <c r="E101" s="36">
        <v>4713</v>
      </c>
      <c r="F101" s="36">
        <f t="shared" si="3"/>
        <v>120966</v>
      </c>
    </row>
    <row r="102" spans="1:6" hidden="1" x14ac:dyDescent="0.2">
      <c r="A102" s="21">
        <v>41883</v>
      </c>
      <c r="B102" s="36">
        <v>1191</v>
      </c>
      <c r="C102" s="36">
        <v>115075</v>
      </c>
      <c r="D102" s="36">
        <v>71</v>
      </c>
      <c r="E102" s="36">
        <v>5055</v>
      </c>
      <c r="F102" s="36">
        <f t="shared" si="3"/>
        <v>121392</v>
      </c>
    </row>
    <row r="103" spans="1:6" hidden="1" x14ac:dyDescent="0.2">
      <c r="A103" s="21">
        <v>41913</v>
      </c>
      <c r="B103" s="36">
        <v>2004</v>
      </c>
      <c r="C103" s="36">
        <v>119320</v>
      </c>
      <c r="D103" s="36">
        <v>137</v>
      </c>
      <c r="E103" s="36">
        <v>5573</v>
      </c>
      <c r="F103" s="36">
        <f t="shared" si="3"/>
        <v>127034</v>
      </c>
    </row>
    <row r="104" spans="1:6" hidden="1" x14ac:dyDescent="0.2">
      <c r="A104" s="21">
        <v>41944</v>
      </c>
      <c r="B104" s="36">
        <v>3217</v>
      </c>
      <c r="C104" s="36">
        <v>129307</v>
      </c>
      <c r="D104" s="36">
        <v>177</v>
      </c>
      <c r="E104" s="36">
        <v>6287</v>
      </c>
      <c r="F104" s="36">
        <f t="shared" si="3"/>
        <v>138988</v>
      </c>
    </row>
    <row r="105" spans="1:6" hidden="1" x14ac:dyDescent="0.2">
      <c r="A105" s="21">
        <v>41974</v>
      </c>
      <c r="B105" s="36">
        <v>2625</v>
      </c>
      <c r="C105" s="36">
        <v>126266</v>
      </c>
      <c r="D105" s="36">
        <v>147</v>
      </c>
      <c r="E105" s="36">
        <v>6663</v>
      </c>
      <c r="F105" s="36">
        <f t="shared" si="3"/>
        <v>135701</v>
      </c>
    </row>
    <row r="106" spans="1:6" hidden="1" x14ac:dyDescent="0.2">
      <c r="A106" s="21">
        <v>42005</v>
      </c>
      <c r="B106" s="36">
        <v>2085</v>
      </c>
      <c r="C106" s="36">
        <v>122194</v>
      </c>
      <c r="D106" s="36">
        <v>107</v>
      </c>
      <c r="E106" s="36">
        <v>5916</v>
      </c>
      <c r="F106" s="36">
        <f t="shared" si="3"/>
        <v>130302</v>
      </c>
    </row>
    <row r="107" spans="1:6" hidden="1" x14ac:dyDescent="0.2">
      <c r="A107" s="21">
        <v>42036</v>
      </c>
      <c r="B107" s="36">
        <v>1705</v>
      </c>
      <c r="C107" s="36">
        <v>119055</v>
      </c>
      <c r="D107" s="36">
        <v>95</v>
      </c>
      <c r="E107" s="36">
        <v>5190</v>
      </c>
      <c r="F107" s="36">
        <f t="shared" si="3"/>
        <v>126045</v>
      </c>
    </row>
    <row r="108" spans="1:6" hidden="1" x14ac:dyDescent="0.2">
      <c r="A108" s="21">
        <v>42064</v>
      </c>
      <c r="B108" s="36">
        <v>1366</v>
      </c>
      <c r="C108" s="36">
        <v>114754</v>
      </c>
      <c r="D108" s="36">
        <v>66</v>
      </c>
      <c r="E108" s="36">
        <v>5399</v>
      </c>
      <c r="F108" s="36">
        <f t="shared" si="3"/>
        <v>121585</v>
      </c>
    </row>
    <row r="109" spans="1:6" hidden="1" x14ac:dyDescent="0.2">
      <c r="A109" s="21">
        <v>42095</v>
      </c>
      <c r="B109" s="36">
        <v>1101</v>
      </c>
      <c r="C109" s="36">
        <v>104589</v>
      </c>
      <c r="D109" s="36">
        <v>52</v>
      </c>
      <c r="E109" s="36">
        <v>3974</v>
      </c>
      <c r="F109" s="36">
        <f t="shared" si="3"/>
        <v>109716</v>
      </c>
    </row>
    <row r="110" spans="1:6" hidden="1" x14ac:dyDescent="0.2">
      <c r="A110" s="21">
        <v>42125</v>
      </c>
      <c r="B110" s="36">
        <v>937</v>
      </c>
      <c r="C110" s="36">
        <v>112964</v>
      </c>
      <c r="D110" s="36">
        <v>64</v>
      </c>
      <c r="E110" s="36">
        <v>4543</v>
      </c>
      <c r="F110" s="36">
        <f t="shared" si="3"/>
        <v>118508</v>
      </c>
    </row>
    <row r="111" spans="1:6" hidden="1" x14ac:dyDescent="0.2">
      <c r="A111" s="21">
        <v>42156</v>
      </c>
      <c r="B111" s="36">
        <v>837</v>
      </c>
      <c r="C111" s="36">
        <v>112270</v>
      </c>
      <c r="D111" s="36">
        <v>53</v>
      </c>
      <c r="E111" s="36">
        <v>4629</v>
      </c>
      <c r="F111" s="36">
        <f t="shared" si="3"/>
        <v>117789</v>
      </c>
    </row>
    <row r="112" spans="1:6" hidden="1" x14ac:dyDescent="0.2">
      <c r="A112" s="21">
        <v>42186</v>
      </c>
      <c r="B112" s="36">
        <v>851</v>
      </c>
      <c r="C112" s="36">
        <v>114069</v>
      </c>
      <c r="D112" s="36">
        <v>38</v>
      </c>
      <c r="E112" s="36">
        <v>4496</v>
      </c>
      <c r="F112" s="36">
        <f t="shared" si="3"/>
        <v>119454</v>
      </c>
    </row>
    <row r="113" spans="1:6" hidden="1" x14ac:dyDescent="0.2">
      <c r="A113" s="21">
        <v>42217</v>
      </c>
      <c r="B113" s="36">
        <v>842</v>
      </c>
      <c r="C113" s="36">
        <v>113649</v>
      </c>
      <c r="D113" s="36">
        <v>58</v>
      </c>
      <c r="E113" s="36">
        <v>4469</v>
      </c>
      <c r="F113" s="36">
        <f t="shared" si="3"/>
        <v>119018</v>
      </c>
    </row>
    <row r="114" spans="1:6" hidden="1" x14ac:dyDescent="0.2">
      <c r="A114" s="21">
        <v>42248</v>
      </c>
      <c r="B114" s="36">
        <v>992</v>
      </c>
      <c r="C114" s="36">
        <v>114209</v>
      </c>
      <c r="D114" s="36">
        <v>64</v>
      </c>
      <c r="E114" s="36">
        <v>4653</v>
      </c>
      <c r="F114" s="36">
        <f t="shared" si="3"/>
        <v>119918</v>
      </c>
    </row>
    <row r="115" spans="1:6" hidden="1" x14ac:dyDescent="0.2">
      <c r="A115" s="21">
        <v>42278</v>
      </c>
      <c r="B115" s="36">
        <v>1745</v>
      </c>
      <c r="C115" s="36">
        <v>117488</v>
      </c>
      <c r="D115" s="36">
        <v>130</v>
      </c>
      <c r="E115" s="36">
        <v>5177</v>
      </c>
      <c r="F115" s="36">
        <f t="shared" si="3"/>
        <v>124540</v>
      </c>
    </row>
    <row r="116" spans="1:6" hidden="1" x14ac:dyDescent="0.2">
      <c r="A116" s="21">
        <v>42309</v>
      </c>
      <c r="B116" s="36">
        <v>2658</v>
      </c>
      <c r="C116" s="36">
        <v>127063</v>
      </c>
      <c r="D116" s="36">
        <v>186</v>
      </c>
      <c r="E116" s="36">
        <v>5731</v>
      </c>
      <c r="F116" s="36">
        <f t="shared" si="3"/>
        <v>135638</v>
      </c>
    </row>
    <row r="117" spans="1:6" hidden="1" x14ac:dyDescent="0.2">
      <c r="A117" s="21">
        <v>42339</v>
      </c>
      <c r="B117" s="36">
        <v>2670</v>
      </c>
      <c r="C117" s="36">
        <v>126797</v>
      </c>
      <c r="D117" s="36">
        <v>143</v>
      </c>
      <c r="E117" s="36">
        <v>5487</v>
      </c>
      <c r="F117" s="36">
        <f t="shared" si="3"/>
        <v>135097</v>
      </c>
    </row>
    <row r="118" spans="1:6" hidden="1" x14ac:dyDescent="0.2">
      <c r="A118" s="21">
        <v>42370</v>
      </c>
      <c r="B118" s="36">
        <v>2216</v>
      </c>
      <c r="C118" s="36">
        <v>119594</v>
      </c>
      <c r="D118" s="36">
        <v>105</v>
      </c>
      <c r="E118" s="36">
        <v>5102</v>
      </c>
      <c r="F118" s="36">
        <f t="shared" si="3"/>
        <v>127017</v>
      </c>
    </row>
    <row r="119" spans="1:6" hidden="1" x14ac:dyDescent="0.2">
      <c r="A119" s="21">
        <v>42401</v>
      </c>
      <c r="B119" s="36">
        <v>1635</v>
      </c>
      <c r="C119" s="36">
        <v>114854</v>
      </c>
      <c r="D119" s="36">
        <v>82</v>
      </c>
      <c r="E119" s="36">
        <v>4947</v>
      </c>
      <c r="F119" s="36">
        <f t="shared" si="3"/>
        <v>121518</v>
      </c>
    </row>
    <row r="120" spans="1:6" hidden="1" x14ac:dyDescent="0.2">
      <c r="A120" s="21">
        <v>42430</v>
      </c>
      <c r="B120" s="36">
        <v>1541</v>
      </c>
      <c r="C120" s="36">
        <v>114845</v>
      </c>
      <c r="D120" s="36">
        <v>72</v>
      </c>
      <c r="E120" s="36">
        <v>3245</v>
      </c>
      <c r="F120" s="36">
        <f t="shared" si="3"/>
        <v>119703</v>
      </c>
    </row>
    <row r="121" spans="1:6" hidden="1" x14ac:dyDescent="0.2">
      <c r="A121" s="21">
        <v>42461</v>
      </c>
      <c r="B121" s="36">
        <v>1485</v>
      </c>
      <c r="C121" s="36">
        <v>95214</v>
      </c>
      <c r="D121" s="36">
        <v>69</v>
      </c>
      <c r="E121" s="36">
        <v>3267</v>
      </c>
      <c r="F121" s="36">
        <f t="shared" si="3"/>
        <v>100035</v>
      </c>
    </row>
    <row r="122" spans="1:6" hidden="1" x14ac:dyDescent="0.2">
      <c r="A122" s="21">
        <v>42491</v>
      </c>
      <c r="B122" s="36">
        <v>2498</v>
      </c>
      <c r="C122" s="36">
        <v>106218</v>
      </c>
      <c r="D122" s="36">
        <v>62</v>
      </c>
      <c r="E122" s="36">
        <v>3947</v>
      </c>
      <c r="F122" s="36">
        <f t="shared" si="3"/>
        <v>112725</v>
      </c>
    </row>
    <row r="123" spans="1:6" hidden="1" x14ac:dyDescent="0.2">
      <c r="A123" s="21">
        <v>42522</v>
      </c>
      <c r="B123" s="36">
        <v>1482</v>
      </c>
      <c r="C123" s="36">
        <v>104513</v>
      </c>
      <c r="D123" s="36">
        <v>42</v>
      </c>
      <c r="E123" s="36">
        <v>4090</v>
      </c>
      <c r="F123" s="36">
        <f t="shared" si="3"/>
        <v>110127</v>
      </c>
    </row>
    <row r="124" spans="1:6" hidden="1" x14ac:dyDescent="0.2">
      <c r="A124" s="21">
        <v>42552</v>
      </c>
      <c r="B124" s="36">
        <v>797</v>
      </c>
      <c r="C124" s="36">
        <v>101913</v>
      </c>
      <c r="D124" s="36">
        <v>35</v>
      </c>
      <c r="E124" s="36">
        <v>3880</v>
      </c>
      <c r="F124" s="36">
        <f t="shared" si="3"/>
        <v>106625</v>
      </c>
    </row>
    <row r="125" spans="1:6" hidden="1" x14ac:dyDescent="0.2">
      <c r="A125" s="21">
        <v>42583</v>
      </c>
      <c r="B125" s="36">
        <v>886</v>
      </c>
      <c r="C125" s="36">
        <v>100828</v>
      </c>
      <c r="D125" s="36">
        <v>35</v>
      </c>
      <c r="E125" s="36">
        <v>3899</v>
      </c>
      <c r="F125" s="36">
        <f t="shared" si="3"/>
        <v>105648</v>
      </c>
    </row>
    <row r="126" spans="1:6" hidden="1" x14ac:dyDescent="0.2">
      <c r="A126" s="21">
        <v>42614</v>
      </c>
      <c r="B126" s="36">
        <v>1115</v>
      </c>
      <c r="C126" s="36">
        <v>101730</v>
      </c>
      <c r="D126" s="36">
        <v>43</v>
      </c>
      <c r="E126" s="36">
        <v>3885</v>
      </c>
      <c r="F126" s="36">
        <f t="shared" si="3"/>
        <v>106773</v>
      </c>
    </row>
    <row r="127" spans="1:6" hidden="1" x14ac:dyDescent="0.2">
      <c r="A127" s="21">
        <v>42644</v>
      </c>
      <c r="B127" s="36">
        <v>1805</v>
      </c>
      <c r="C127" s="36">
        <v>103215</v>
      </c>
      <c r="D127" s="36">
        <v>81</v>
      </c>
      <c r="E127" s="36">
        <v>4202</v>
      </c>
      <c r="F127" s="36">
        <f t="shared" si="3"/>
        <v>109303</v>
      </c>
    </row>
    <row r="128" spans="1:6" hidden="1" x14ac:dyDescent="0.2">
      <c r="A128" s="21">
        <v>42675</v>
      </c>
      <c r="B128" s="36">
        <v>2738</v>
      </c>
      <c r="C128" s="36">
        <v>111846</v>
      </c>
      <c r="D128" s="36">
        <v>153</v>
      </c>
      <c r="E128" s="36">
        <v>4994</v>
      </c>
      <c r="F128" s="36">
        <f t="shared" si="3"/>
        <v>119731</v>
      </c>
    </row>
    <row r="129" spans="1:6" hidden="1" x14ac:dyDescent="0.2">
      <c r="A129" s="21">
        <v>42705</v>
      </c>
      <c r="B129" s="36">
        <v>2751</v>
      </c>
      <c r="C129" s="36">
        <v>113228</v>
      </c>
      <c r="D129" s="36">
        <v>167</v>
      </c>
      <c r="E129" s="36">
        <v>5104</v>
      </c>
      <c r="F129" s="36">
        <f t="shared" si="3"/>
        <v>121250</v>
      </c>
    </row>
    <row r="130" spans="1:6" hidden="1" x14ac:dyDescent="0.2">
      <c r="A130" s="21">
        <v>42736</v>
      </c>
      <c r="B130" s="36">
        <v>2186</v>
      </c>
      <c r="C130" s="36">
        <v>106388</v>
      </c>
      <c r="D130" s="36">
        <v>110</v>
      </c>
      <c r="E130" s="36">
        <v>4863</v>
      </c>
      <c r="F130" s="36">
        <f t="shared" si="3"/>
        <v>113547</v>
      </c>
    </row>
    <row r="131" spans="1:6" hidden="1" x14ac:dyDescent="0.2">
      <c r="A131" s="21">
        <v>42767</v>
      </c>
      <c r="B131" s="36">
        <v>1357</v>
      </c>
      <c r="C131" s="36">
        <v>98626</v>
      </c>
      <c r="D131" s="36">
        <v>114</v>
      </c>
      <c r="E131" s="36">
        <v>4915</v>
      </c>
      <c r="F131" s="36">
        <f t="shared" si="3"/>
        <v>105012</v>
      </c>
    </row>
    <row r="132" spans="1:6" hidden="1" x14ac:dyDescent="0.2">
      <c r="A132" s="21">
        <v>42795</v>
      </c>
      <c r="B132" s="36">
        <v>1465</v>
      </c>
      <c r="C132" s="36">
        <v>104058</v>
      </c>
      <c r="D132" s="36">
        <v>104</v>
      </c>
      <c r="E132" s="36">
        <v>4825</v>
      </c>
      <c r="F132" s="36">
        <f t="shared" si="3"/>
        <v>110452</v>
      </c>
    </row>
    <row r="133" spans="1:6" x14ac:dyDescent="0.2">
      <c r="A133" s="21">
        <v>42826</v>
      </c>
      <c r="B133" s="36">
        <v>1165</v>
      </c>
      <c r="C133" s="36">
        <v>81199</v>
      </c>
      <c r="D133" s="36">
        <v>58</v>
      </c>
      <c r="E133" s="36">
        <v>2645</v>
      </c>
      <c r="F133" s="36">
        <f t="shared" si="3"/>
        <v>85067</v>
      </c>
    </row>
    <row r="134" spans="1:6" x14ac:dyDescent="0.2">
      <c r="A134" s="21">
        <v>42856</v>
      </c>
      <c r="B134" s="36">
        <v>1089</v>
      </c>
      <c r="C134" s="36">
        <v>91342</v>
      </c>
      <c r="D134" s="36">
        <v>59</v>
      </c>
      <c r="E134" s="36">
        <v>3262</v>
      </c>
      <c r="F134" s="36">
        <f t="shared" si="3"/>
        <v>95752</v>
      </c>
    </row>
    <row r="135" spans="1:6" x14ac:dyDescent="0.2">
      <c r="A135" s="21">
        <v>42887</v>
      </c>
      <c r="B135" s="36">
        <v>1020</v>
      </c>
      <c r="C135" s="36">
        <v>93443</v>
      </c>
      <c r="D135" s="36">
        <v>55</v>
      </c>
      <c r="E135" s="36">
        <v>3574</v>
      </c>
      <c r="F135" s="36">
        <f t="shared" si="3"/>
        <v>98092</v>
      </c>
    </row>
    <row r="136" spans="1:6" x14ac:dyDescent="0.2">
      <c r="A136" s="21">
        <v>42917</v>
      </c>
      <c r="B136" s="36">
        <v>971</v>
      </c>
      <c r="C136" s="36">
        <v>94983</v>
      </c>
      <c r="D136" s="36">
        <v>54</v>
      </c>
      <c r="E136" s="36">
        <v>3629</v>
      </c>
      <c r="F136" s="36">
        <f t="shared" si="3"/>
        <v>99637</v>
      </c>
    </row>
    <row r="137" spans="1:6" x14ac:dyDescent="0.2">
      <c r="A137" s="21">
        <v>42948</v>
      </c>
      <c r="B137" s="36">
        <v>892</v>
      </c>
      <c r="C137" s="36">
        <v>92641</v>
      </c>
      <c r="D137" s="36">
        <v>54</v>
      </c>
      <c r="E137" s="36">
        <v>3502</v>
      </c>
      <c r="F137" s="36">
        <f t="shared" si="3"/>
        <v>97089</v>
      </c>
    </row>
    <row r="138" spans="1:6" x14ac:dyDescent="0.2">
      <c r="A138" s="21">
        <v>42979</v>
      </c>
      <c r="B138" s="36">
        <v>1025</v>
      </c>
      <c r="C138" s="36">
        <v>92402</v>
      </c>
      <c r="D138" s="36">
        <v>53</v>
      </c>
      <c r="E138" s="36">
        <v>3787</v>
      </c>
      <c r="F138" s="36">
        <f t="shared" si="3"/>
        <v>97267</v>
      </c>
    </row>
    <row r="139" spans="1:6" x14ac:dyDescent="0.2">
      <c r="A139" s="21">
        <v>43009</v>
      </c>
      <c r="B139" s="36">
        <v>1558</v>
      </c>
      <c r="C139" s="36">
        <v>99623</v>
      </c>
      <c r="D139" s="36">
        <v>82</v>
      </c>
      <c r="E139" s="36">
        <v>3857</v>
      </c>
      <c r="F139" s="36">
        <f t="shared" si="3"/>
        <v>105120</v>
      </c>
    </row>
    <row r="140" spans="1:6" x14ac:dyDescent="0.2">
      <c r="A140" s="21">
        <v>43040</v>
      </c>
      <c r="B140" s="36">
        <v>3025</v>
      </c>
      <c r="C140" s="36">
        <v>107510</v>
      </c>
      <c r="D140" s="36">
        <v>178</v>
      </c>
      <c r="E140" s="36">
        <v>4913</v>
      </c>
      <c r="F140" s="36">
        <f t="shared" si="3"/>
        <v>115626</v>
      </c>
    </row>
    <row r="141" spans="1:6" x14ac:dyDescent="0.2">
      <c r="A141" s="21">
        <v>43070</v>
      </c>
      <c r="B141" s="36">
        <v>2890</v>
      </c>
      <c r="C141" s="36">
        <v>108782</v>
      </c>
      <c r="D141" s="36">
        <v>189</v>
      </c>
      <c r="E141" s="36">
        <v>5567</v>
      </c>
      <c r="F141" s="36">
        <f t="shared" si="3"/>
        <v>117428</v>
      </c>
    </row>
    <row r="142" spans="1:6" x14ac:dyDescent="0.2">
      <c r="A142" s="21">
        <v>43101</v>
      </c>
      <c r="B142" s="36">
        <v>2240</v>
      </c>
      <c r="C142" s="36">
        <v>100795</v>
      </c>
      <c r="D142" s="36">
        <v>115</v>
      </c>
      <c r="E142" s="36">
        <v>4044</v>
      </c>
      <c r="F142" s="36">
        <f t="shared" si="3"/>
        <v>107194</v>
      </c>
    </row>
    <row r="143" spans="1:6" x14ac:dyDescent="0.2">
      <c r="A143" s="21">
        <v>43132</v>
      </c>
      <c r="B143" s="36">
        <v>1902</v>
      </c>
      <c r="C143" s="36">
        <v>97141</v>
      </c>
      <c r="D143" s="36">
        <v>100</v>
      </c>
      <c r="E143" s="36">
        <v>4056</v>
      </c>
      <c r="F143" s="36">
        <f t="shared" si="3"/>
        <v>103199</v>
      </c>
    </row>
    <row r="144" spans="1:6" x14ac:dyDescent="0.2">
      <c r="A144" s="21">
        <v>43160</v>
      </c>
      <c r="B144" s="36">
        <v>1832</v>
      </c>
      <c r="C144" s="36">
        <v>97218</v>
      </c>
      <c r="D144" s="36">
        <v>71</v>
      </c>
      <c r="E144" s="36">
        <v>7857</v>
      </c>
      <c r="F144" s="36">
        <f t="shared" si="3"/>
        <v>106978</v>
      </c>
    </row>
    <row r="145" spans="1:6" x14ac:dyDescent="0.2">
      <c r="A145" s="21">
        <v>43191</v>
      </c>
      <c r="B145" s="36">
        <v>2663</v>
      </c>
      <c r="C145" s="36">
        <v>76348</v>
      </c>
      <c r="D145" s="36">
        <v>70</v>
      </c>
      <c r="E145" s="36">
        <v>3446</v>
      </c>
      <c r="F145" s="36">
        <f t="shared" si="3"/>
        <v>82527</v>
      </c>
    </row>
    <row r="146" spans="1:6" x14ac:dyDescent="0.2">
      <c r="A146" s="21">
        <v>43221</v>
      </c>
      <c r="B146" s="36">
        <v>1595</v>
      </c>
      <c r="C146" s="36">
        <v>88802</v>
      </c>
      <c r="D146" s="36">
        <v>57</v>
      </c>
      <c r="E146" s="36">
        <v>3735</v>
      </c>
      <c r="F146" s="36">
        <f t="shared" si="3"/>
        <v>94189</v>
      </c>
    </row>
    <row r="147" spans="1:6" x14ac:dyDescent="0.2">
      <c r="A147" s="21">
        <v>43252</v>
      </c>
      <c r="B147" s="36">
        <v>906</v>
      </c>
      <c r="C147" s="36">
        <v>87554</v>
      </c>
      <c r="D147" s="36">
        <v>48</v>
      </c>
      <c r="E147" s="36">
        <v>3420</v>
      </c>
      <c r="F147" s="36">
        <f t="shared" si="3"/>
        <v>91928</v>
      </c>
    </row>
    <row r="148" spans="1:6" x14ac:dyDescent="0.2">
      <c r="A148" s="21">
        <v>43282</v>
      </c>
      <c r="B148" s="36">
        <v>887</v>
      </c>
      <c r="C148" s="36">
        <v>87079</v>
      </c>
      <c r="D148" s="36">
        <v>49</v>
      </c>
      <c r="E148" s="36">
        <v>3512</v>
      </c>
      <c r="F148" s="36">
        <f t="shared" si="3"/>
        <v>91527</v>
      </c>
    </row>
    <row r="149" spans="1:6" x14ac:dyDescent="0.2">
      <c r="A149" s="21">
        <v>43313</v>
      </c>
      <c r="B149" s="36">
        <v>985</v>
      </c>
      <c r="C149" s="36">
        <v>88894</v>
      </c>
      <c r="D149" s="36">
        <v>61</v>
      </c>
      <c r="E149" s="36">
        <v>3419</v>
      </c>
      <c r="F149" s="36">
        <f t="shared" si="3"/>
        <v>93359</v>
      </c>
    </row>
    <row r="150" spans="1:6" x14ac:dyDescent="0.2">
      <c r="A150" s="21">
        <v>43344</v>
      </c>
      <c r="B150" s="36">
        <v>962</v>
      </c>
      <c r="C150" s="36">
        <v>87604</v>
      </c>
      <c r="D150" s="36">
        <v>55</v>
      </c>
      <c r="E150" s="36">
        <v>3491</v>
      </c>
      <c r="F150" s="36">
        <f t="shared" si="3"/>
        <v>92112</v>
      </c>
    </row>
    <row r="151" spans="1:6" x14ac:dyDescent="0.2">
      <c r="A151" s="21">
        <v>43374</v>
      </c>
      <c r="B151" s="36">
        <v>1513</v>
      </c>
      <c r="C151" s="36">
        <v>90591</v>
      </c>
      <c r="D151" s="36">
        <v>141</v>
      </c>
      <c r="E151" s="36">
        <v>4227</v>
      </c>
      <c r="F151" s="36">
        <f t="shared" si="3"/>
        <v>96472</v>
      </c>
    </row>
    <row r="152" spans="1:6" x14ac:dyDescent="0.2">
      <c r="A152" s="21">
        <v>43405</v>
      </c>
      <c r="B152" s="36">
        <v>2944</v>
      </c>
      <c r="C152" s="36">
        <v>98688</v>
      </c>
      <c r="D152" s="36">
        <v>189</v>
      </c>
      <c r="E152" s="36">
        <v>4795</v>
      </c>
      <c r="F152" s="36">
        <f t="shared" si="3"/>
        <v>106616</v>
      </c>
    </row>
    <row r="153" spans="1:6" x14ac:dyDescent="0.2">
      <c r="A153" s="21">
        <v>43435</v>
      </c>
      <c r="B153" s="36">
        <v>2517</v>
      </c>
      <c r="C153" s="36">
        <v>96610</v>
      </c>
      <c r="D153" s="36">
        <v>158</v>
      </c>
      <c r="E153" s="36">
        <v>4496</v>
      </c>
      <c r="F153" s="36">
        <f t="shared" si="3"/>
        <v>103781</v>
      </c>
    </row>
    <row r="154" spans="1:6" x14ac:dyDescent="0.2">
      <c r="A154" s="21">
        <v>43466</v>
      </c>
      <c r="B154" s="36">
        <v>1764</v>
      </c>
      <c r="C154" s="36">
        <v>89614</v>
      </c>
      <c r="D154" s="36">
        <v>101</v>
      </c>
      <c r="E154" s="36">
        <v>3632</v>
      </c>
      <c r="F154" s="36">
        <f t="shared" ref="F154:F188" si="4">SUM(B154:E154)</f>
        <v>95111</v>
      </c>
    </row>
    <row r="155" spans="1:6" x14ac:dyDescent="0.2">
      <c r="A155" s="21">
        <v>43497</v>
      </c>
      <c r="B155" s="36">
        <v>1535</v>
      </c>
      <c r="C155" s="36">
        <v>86867</v>
      </c>
      <c r="D155" s="36">
        <v>87</v>
      </c>
      <c r="E155" s="36">
        <v>3500</v>
      </c>
      <c r="F155" s="36">
        <f t="shared" si="4"/>
        <v>91989</v>
      </c>
    </row>
    <row r="156" spans="1:6" x14ac:dyDescent="0.2">
      <c r="A156" s="21">
        <v>43525</v>
      </c>
      <c r="B156" s="36">
        <v>1265</v>
      </c>
      <c r="C156" s="36">
        <v>93010</v>
      </c>
      <c r="D156" s="36">
        <v>144</v>
      </c>
      <c r="E156" s="36">
        <v>4524</v>
      </c>
      <c r="F156" s="36">
        <f t="shared" si="4"/>
        <v>98943</v>
      </c>
    </row>
    <row r="157" spans="1:6" x14ac:dyDescent="0.2">
      <c r="A157" s="21">
        <v>43556</v>
      </c>
      <c r="B157" s="36">
        <v>1318</v>
      </c>
      <c r="C157" s="36">
        <v>70304</v>
      </c>
      <c r="D157" s="36">
        <v>202</v>
      </c>
      <c r="E157" s="36">
        <v>3577</v>
      </c>
      <c r="F157" s="36">
        <f t="shared" si="4"/>
        <v>75401</v>
      </c>
    </row>
    <row r="158" spans="1:6" x14ac:dyDescent="0.2">
      <c r="A158" s="21">
        <v>43586</v>
      </c>
      <c r="B158" s="36">
        <v>1259</v>
      </c>
      <c r="C158" s="36">
        <v>81258</v>
      </c>
      <c r="D158" s="36">
        <v>89</v>
      </c>
      <c r="E158" s="36">
        <v>3118</v>
      </c>
      <c r="F158" s="36">
        <f t="shared" si="4"/>
        <v>85724</v>
      </c>
    </row>
    <row r="159" spans="1:6" x14ac:dyDescent="0.2">
      <c r="A159" s="21">
        <v>43617</v>
      </c>
      <c r="B159" s="36">
        <v>949</v>
      </c>
      <c r="C159" s="36">
        <v>82547</v>
      </c>
      <c r="D159" s="36">
        <v>68</v>
      </c>
      <c r="E159" s="36">
        <v>3218</v>
      </c>
      <c r="F159" s="36">
        <f t="shared" si="4"/>
        <v>86782</v>
      </c>
    </row>
    <row r="160" spans="1:6" x14ac:dyDescent="0.2">
      <c r="A160" s="21">
        <v>43647</v>
      </c>
      <c r="B160" s="36">
        <v>1078</v>
      </c>
      <c r="C160" s="36">
        <v>83971</v>
      </c>
      <c r="D160" s="36">
        <v>79</v>
      </c>
      <c r="E160" s="36">
        <v>3235</v>
      </c>
      <c r="F160" s="36">
        <f t="shared" si="4"/>
        <v>88363</v>
      </c>
    </row>
    <row r="161" spans="1:6" x14ac:dyDescent="0.2">
      <c r="A161" s="21">
        <v>43678</v>
      </c>
      <c r="B161" s="36">
        <v>1038</v>
      </c>
      <c r="C161" s="36">
        <v>83784</v>
      </c>
      <c r="D161" s="36">
        <v>64</v>
      </c>
      <c r="E161" s="36">
        <v>3239</v>
      </c>
      <c r="F161" s="36">
        <f t="shared" si="4"/>
        <v>88125</v>
      </c>
    </row>
    <row r="162" spans="1:6" x14ac:dyDescent="0.2">
      <c r="A162" s="21">
        <v>43709</v>
      </c>
      <c r="B162" s="36">
        <v>1012</v>
      </c>
      <c r="C162" s="36">
        <v>82416</v>
      </c>
      <c r="D162" s="36">
        <v>58</v>
      </c>
      <c r="E162" s="36">
        <v>3254</v>
      </c>
      <c r="F162" s="36">
        <f t="shared" si="4"/>
        <v>86740</v>
      </c>
    </row>
    <row r="163" spans="1:6" x14ac:dyDescent="0.2">
      <c r="A163" s="21">
        <v>43739</v>
      </c>
      <c r="B163" s="36">
        <v>1651</v>
      </c>
      <c r="C163" s="36">
        <v>84892</v>
      </c>
      <c r="D163" s="36">
        <v>125</v>
      </c>
      <c r="E163" s="36">
        <v>4023</v>
      </c>
      <c r="F163" s="36">
        <f t="shared" si="4"/>
        <v>90691</v>
      </c>
    </row>
    <row r="164" spans="1:6" x14ac:dyDescent="0.2">
      <c r="A164" s="21">
        <v>43770</v>
      </c>
      <c r="B164" s="36">
        <v>2906</v>
      </c>
      <c r="C164" s="36">
        <v>94185</v>
      </c>
      <c r="D164" s="36">
        <v>190</v>
      </c>
      <c r="E164" s="36">
        <v>4733</v>
      </c>
      <c r="F164" s="36">
        <f t="shared" si="4"/>
        <v>102014</v>
      </c>
    </row>
    <row r="165" spans="1:6" x14ac:dyDescent="0.2">
      <c r="A165" s="21">
        <v>43800</v>
      </c>
      <c r="B165" s="36">
        <v>2618</v>
      </c>
      <c r="C165" s="36">
        <v>92859</v>
      </c>
      <c r="D165" s="36">
        <v>141</v>
      </c>
      <c r="E165" s="36">
        <v>4274</v>
      </c>
      <c r="F165" s="36">
        <f t="shared" si="4"/>
        <v>99892</v>
      </c>
    </row>
    <row r="166" spans="1:6" x14ac:dyDescent="0.2">
      <c r="A166" s="21">
        <v>43831</v>
      </c>
      <c r="B166" s="36">
        <v>2238</v>
      </c>
      <c r="C166" s="36">
        <v>86711</v>
      </c>
      <c r="D166" s="36">
        <v>83</v>
      </c>
      <c r="E166" s="36">
        <v>3483</v>
      </c>
      <c r="F166" s="36">
        <f t="shared" si="4"/>
        <v>92515</v>
      </c>
    </row>
    <row r="167" spans="1:6" x14ac:dyDescent="0.2">
      <c r="A167" s="21">
        <v>43862</v>
      </c>
      <c r="B167" s="36">
        <v>3378</v>
      </c>
      <c r="C167" s="36">
        <v>86445</v>
      </c>
      <c r="D167" s="36">
        <v>72</v>
      </c>
      <c r="E167" s="36">
        <v>3478</v>
      </c>
      <c r="F167" s="36">
        <f t="shared" si="4"/>
        <v>93373</v>
      </c>
    </row>
    <row r="168" spans="1:6" x14ac:dyDescent="0.2">
      <c r="A168" s="21">
        <v>43891</v>
      </c>
      <c r="B168" s="36">
        <v>3130</v>
      </c>
      <c r="C168" s="36">
        <v>89867</v>
      </c>
      <c r="D168" s="36">
        <v>65</v>
      </c>
      <c r="E168" s="36">
        <v>3478</v>
      </c>
      <c r="F168" s="36">
        <f t="shared" si="4"/>
        <v>96540</v>
      </c>
    </row>
    <row r="169" spans="1:6" x14ac:dyDescent="0.2">
      <c r="A169" s="21">
        <v>43922</v>
      </c>
      <c r="B169" s="36">
        <v>448</v>
      </c>
      <c r="C169" s="36">
        <v>65721</v>
      </c>
      <c r="D169" s="36">
        <v>14</v>
      </c>
      <c r="E169" s="36">
        <v>2557</v>
      </c>
      <c r="F169" s="36">
        <f t="shared" si="4"/>
        <v>68740</v>
      </c>
    </row>
    <row r="170" spans="1:6" x14ac:dyDescent="0.2">
      <c r="A170" s="21">
        <v>43952</v>
      </c>
      <c r="B170" s="36">
        <v>768</v>
      </c>
      <c r="C170" s="36">
        <v>77216</v>
      </c>
      <c r="D170" s="36">
        <v>35</v>
      </c>
      <c r="E170" s="36">
        <v>3044</v>
      </c>
      <c r="F170" s="36">
        <f t="shared" si="4"/>
        <v>81063</v>
      </c>
    </row>
    <row r="171" spans="1:6" x14ac:dyDescent="0.2">
      <c r="A171" s="21">
        <v>43983</v>
      </c>
      <c r="B171" s="36">
        <v>850</v>
      </c>
      <c r="C171" s="36">
        <v>77119</v>
      </c>
      <c r="D171" s="36">
        <v>47</v>
      </c>
      <c r="E171" s="36">
        <v>2999</v>
      </c>
      <c r="F171" s="36">
        <f t="shared" si="4"/>
        <v>81015</v>
      </c>
    </row>
    <row r="172" spans="1:6" x14ac:dyDescent="0.2">
      <c r="A172" s="21">
        <v>44013</v>
      </c>
      <c r="B172" s="36">
        <v>816</v>
      </c>
      <c r="C172" s="36">
        <v>77055</v>
      </c>
      <c r="D172" s="36">
        <v>53</v>
      </c>
      <c r="E172" s="36">
        <v>2990</v>
      </c>
      <c r="F172" s="36">
        <f t="shared" si="4"/>
        <v>80914</v>
      </c>
    </row>
    <row r="173" spans="1:6" x14ac:dyDescent="0.2">
      <c r="A173" s="21">
        <v>44044</v>
      </c>
      <c r="B173" s="36">
        <v>833</v>
      </c>
      <c r="C173" s="36">
        <v>76788</v>
      </c>
      <c r="D173" s="36">
        <v>56</v>
      </c>
      <c r="E173" s="36">
        <v>3026</v>
      </c>
      <c r="F173" s="36">
        <f t="shared" si="4"/>
        <v>80703</v>
      </c>
    </row>
    <row r="174" spans="1:6" x14ac:dyDescent="0.2">
      <c r="A174" s="21">
        <v>44075</v>
      </c>
      <c r="B174" s="36">
        <v>1019</v>
      </c>
      <c r="C174" s="36">
        <v>76773</v>
      </c>
      <c r="D174" s="36">
        <v>60</v>
      </c>
      <c r="E174" s="36">
        <v>3097</v>
      </c>
      <c r="F174" s="36">
        <f t="shared" si="4"/>
        <v>80949</v>
      </c>
    </row>
    <row r="175" spans="1:6" x14ac:dyDescent="0.2">
      <c r="A175" s="21">
        <v>44105</v>
      </c>
      <c r="B175" s="36">
        <v>1633</v>
      </c>
      <c r="C175" s="36">
        <v>79654</v>
      </c>
      <c r="D175" s="36">
        <v>127</v>
      </c>
      <c r="E175" s="36">
        <v>3525</v>
      </c>
      <c r="F175" s="36">
        <f t="shared" si="4"/>
        <v>84939</v>
      </c>
    </row>
    <row r="176" spans="1:6" x14ac:dyDescent="0.2">
      <c r="A176" s="21">
        <v>44136</v>
      </c>
      <c r="B176" s="36">
        <v>1857</v>
      </c>
      <c r="C176" s="36">
        <v>80399</v>
      </c>
      <c r="D176" s="36">
        <v>154</v>
      </c>
      <c r="E176" s="36">
        <v>3730</v>
      </c>
      <c r="F176" s="36">
        <f t="shared" si="4"/>
        <v>86140</v>
      </c>
    </row>
    <row r="177" spans="1:6" x14ac:dyDescent="0.2">
      <c r="A177" s="21">
        <v>44166</v>
      </c>
      <c r="B177" s="36">
        <v>1992</v>
      </c>
      <c r="C177" s="36">
        <v>81036</v>
      </c>
      <c r="D177" s="36">
        <v>129</v>
      </c>
      <c r="E177" s="36">
        <v>3485</v>
      </c>
      <c r="F177" s="36">
        <f t="shared" si="4"/>
        <v>86642</v>
      </c>
    </row>
    <row r="178" spans="1:6" x14ac:dyDescent="0.2">
      <c r="A178" s="21">
        <v>44197</v>
      </c>
      <c r="B178" s="36">
        <v>1701</v>
      </c>
      <c r="C178" s="36">
        <v>75836</v>
      </c>
      <c r="D178" s="36">
        <v>111</v>
      </c>
      <c r="E178" s="36">
        <v>3177</v>
      </c>
      <c r="F178" s="36">
        <f t="shared" si="4"/>
        <v>80825</v>
      </c>
    </row>
    <row r="179" spans="1:6" x14ac:dyDescent="0.2">
      <c r="A179" s="21">
        <v>44228</v>
      </c>
      <c r="B179" s="37">
        <v>1621</v>
      </c>
      <c r="C179" s="37">
        <v>74858</v>
      </c>
      <c r="D179" s="37">
        <v>108</v>
      </c>
      <c r="E179" s="37">
        <v>3209</v>
      </c>
      <c r="F179" s="36">
        <f t="shared" si="4"/>
        <v>79796</v>
      </c>
    </row>
    <row r="180" spans="1:6" x14ac:dyDescent="0.2">
      <c r="A180" s="21">
        <v>44256</v>
      </c>
      <c r="B180" s="36">
        <v>1647</v>
      </c>
      <c r="C180" s="36">
        <v>81491</v>
      </c>
      <c r="D180" s="36">
        <v>93</v>
      </c>
      <c r="E180" s="36">
        <v>3173</v>
      </c>
      <c r="F180" s="36">
        <f t="shared" si="4"/>
        <v>86404</v>
      </c>
    </row>
    <row r="181" spans="1:6" x14ac:dyDescent="0.2">
      <c r="A181" s="21">
        <v>44287</v>
      </c>
      <c r="B181" s="36">
        <v>763</v>
      </c>
      <c r="C181" s="36">
        <v>66480</v>
      </c>
      <c r="D181" s="36">
        <v>31</v>
      </c>
      <c r="E181" s="36">
        <v>2358</v>
      </c>
      <c r="F181" s="36">
        <f t="shared" si="4"/>
        <v>69632</v>
      </c>
    </row>
    <row r="182" spans="1:6" x14ac:dyDescent="0.2">
      <c r="A182" s="21">
        <v>44317</v>
      </c>
      <c r="B182" s="36">
        <v>1104</v>
      </c>
      <c r="C182" s="36">
        <v>75934</v>
      </c>
      <c r="D182" s="36">
        <v>48</v>
      </c>
      <c r="E182" s="36">
        <v>2994</v>
      </c>
      <c r="F182" s="36">
        <f t="shared" si="4"/>
        <v>80080</v>
      </c>
    </row>
    <row r="183" spans="1:6" x14ac:dyDescent="0.2">
      <c r="A183" s="21">
        <v>44348</v>
      </c>
      <c r="B183" s="36">
        <v>1093</v>
      </c>
      <c r="C183" s="36">
        <v>76107</v>
      </c>
      <c r="D183" s="36">
        <v>55</v>
      </c>
      <c r="E183" s="36">
        <v>3126</v>
      </c>
      <c r="F183" s="36">
        <f t="shared" si="4"/>
        <v>80381</v>
      </c>
    </row>
    <row r="184" spans="1:6" x14ac:dyDescent="0.2">
      <c r="A184" s="21">
        <v>44378</v>
      </c>
      <c r="B184" s="36">
        <v>973</v>
      </c>
      <c r="C184" s="36">
        <v>73372</v>
      </c>
      <c r="D184" s="36">
        <v>50</v>
      </c>
      <c r="E184" s="36">
        <v>2908</v>
      </c>
      <c r="F184" s="36">
        <f t="shared" si="4"/>
        <v>77303</v>
      </c>
    </row>
    <row r="185" spans="1:6" x14ac:dyDescent="0.2">
      <c r="A185" s="21">
        <v>44409</v>
      </c>
      <c r="B185" s="36">
        <v>918</v>
      </c>
      <c r="C185" s="36">
        <v>73347</v>
      </c>
      <c r="D185" s="36">
        <v>44</v>
      </c>
      <c r="E185" s="36">
        <v>3028</v>
      </c>
      <c r="F185" s="36">
        <f t="shared" si="4"/>
        <v>77337</v>
      </c>
    </row>
    <row r="186" spans="1:6" x14ac:dyDescent="0.2">
      <c r="A186" s="21">
        <v>44440</v>
      </c>
      <c r="B186" s="36">
        <v>981</v>
      </c>
      <c r="C186" s="36">
        <v>73329</v>
      </c>
      <c r="D186" s="36">
        <v>61</v>
      </c>
      <c r="E186" s="36">
        <v>3311</v>
      </c>
      <c r="F186" s="36">
        <f t="shared" si="4"/>
        <v>77682</v>
      </c>
    </row>
    <row r="187" spans="1:6" x14ac:dyDescent="0.2">
      <c r="A187" s="21">
        <v>44470</v>
      </c>
      <c r="B187" s="37">
        <v>1849</v>
      </c>
      <c r="C187" s="37">
        <v>79631</v>
      </c>
      <c r="D187" s="37">
        <v>160</v>
      </c>
      <c r="E187" s="37">
        <v>5144</v>
      </c>
      <c r="F187" s="36">
        <f t="shared" si="4"/>
        <v>86784</v>
      </c>
    </row>
    <row r="188" spans="1:6" x14ac:dyDescent="0.2">
      <c r="A188" s="21">
        <v>44530</v>
      </c>
      <c r="B188" s="37">
        <v>2978</v>
      </c>
      <c r="C188" s="37">
        <v>82847</v>
      </c>
      <c r="D188" s="37">
        <v>192</v>
      </c>
      <c r="E188" s="37">
        <v>5287</v>
      </c>
      <c r="F188" s="36">
        <f t="shared" si="4"/>
        <v>91304</v>
      </c>
    </row>
    <row r="189" spans="1:6" x14ac:dyDescent="0.2">
      <c r="A189" s="21">
        <v>44561</v>
      </c>
      <c r="B189" s="37">
        <v>2782</v>
      </c>
      <c r="C189" s="37">
        <v>77410</v>
      </c>
      <c r="D189" s="37">
        <v>157</v>
      </c>
      <c r="E189" s="37">
        <v>3712</v>
      </c>
      <c r="F189" s="36">
        <f t="shared" ref="F189:F222" si="5">SUM(B189:E189)</f>
        <v>84061</v>
      </c>
    </row>
    <row r="190" spans="1:6" x14ac:dyDescent="0.2">
      <c r="A190" s="21">
        <v>44592</v>
      </c>
      <c r="B190" s="37">
        <v>2331</v>
      </c>
      <c r="C190" s="37">
        <v>75474</v>
      </c>
      <c r="D190" s="37">
        <v>141</v>
      </c>
      <c r="E190" s="37">
        <v>3666</v>
      </c>
      <c r="F190" s="36">
        <f t="shared" si="5"/>
        <v>81612</v>
      </c>
    </row>
    <row r="191" spans="1:6" x14ac:dyDescent="0.2">
      <c r="A191" s="21">
        <v>44620</v>
      </c>
      <c r="B191" s="37">
        <v>2505</v>
      </c>
      <c r="C191" s="37">
        <v>73306</v>
      </c>
      <c r="D191" s="37">
        <v>123</v>
      </c>
      <c r="E191" s="37">
        <v>3331</v>
      </c>
      <c r="F191" s="36">
        <f t="shared" si="5"/>
        <v>79265</v>
      </c>
    </row>
    <row r="192" spans="1:6" x14ac:dyDescent="0.2">
      <c r="A192" s="21">
        <v>44651</v>
      </c>
      <c r="B192" s="37">
        <v>2014</v>
      </c>
      <c r="C192" s="37">
        <v>77171</v>
      </c>
      <c r="D192" s="37">
        <v>69</v>
      </c>
      <c r="E192" s="37">
        <v>3287</v>
      </c>
      <c r="F192" s="36">
        <f t="shared" si="5"/>
        <v>82541</v>
      </c>
    </row>
    <row r="193" spans="1:7" x14ac:dyDescent="0.2">
      <c r="A193" s="21">
        <v>44681</v>
      </c>
      <c r="B193" s="37">
        <v>901</v>
      </c>
      <c r="C193" s="37">
        <v>63153</v>
      </c>
      <c r="D193" s="37">
        <v>23</v>
      </c>
      <c r="E193" s="37">
        <v>2431</v>
      </c>
      <c r="F193" s="36">
        <f t="shared" si="5"/>
        <v>66508</v>
      </c>
    </row>
    <row r="194" spans="1:7" x14ac:dyDescent="0.2">
      <c r="A194" s="21">
        <v>44712</v>
      </c>
      <c r="B194" s="37">
        <v>2021</v>
      </c>
      <c r="C194" s="37">
        <v>80678</v>
      </c>
      <c r="D194" s="37">
        <v>374</v>
      </c>
      <c r="E194" s="37">
        <v>6652</v>
      </c>
      <c r="F194" s="36">
        <f t="shared" si="5"/>
        <v>89725</v>
      </c>
    </row>
    <row r="195" spans="1:7" x14ac:dyDescent="0.2">
      <c r="A195" s="21">
        <v>44742</v>
      </c>
      <c r="B195" s="37">
        <v>1142</v>
      </c>
      <c r="C195" s="37">
        <v>73458</v>
      </c>
      <c r="D195" s="37">
        <v>287</v>
      </c>
      <c r="E195" s="37">
        <v>5742</v>
      </c>
      <c r="F195" s="36">
        <f t="shared" si="5"/>
        <v>80629</v>
      </c>
    </row>
    <row r="196" spans="1:7" x14ac:dyDescent="0.2">
      <c r="A196" s="21">
        <v>44773</v>
      </c>
      <c r="B196" s="37">
        <v>1071</v>
      </c>
      <c r="C196" s="37">
        <v>72896</v>
      </c>
      <c r="D196" s="37">
        <v>97</v>
      </c>
      <c r="E196" s="37">
        <v>3129</v>
      </c>
      <c r="F196" s="36">
        <f t="shared" si="5"/>
        <v>77193</v>
      </c>
    </row>
    <row r="197" spans="1:7" x14ac:dyDescent="0.2">
      <c r="A197" s="21">
        <v>44804</v>
      </c>
      <c r="B197" s="37">
        <v>1037</v>
      </c>
      <c r="C197" s="37">
        <v>73136</v>
      </c>
      <c r="D197" s="37">
        <v>66</v>
      </c>
      <c r="E197" s="37">
        <v>3173</v>
      </c>
      <c r="F197" s="36">
        <f t="shared" si="5"/>
        <v>77412</v>
      </c>
    </row>
    <row r="198" spans="1:7" x14ac:dyDescent="0.2">
      <c r="A198" s="21">
        <v>44834</v>
      </c>
      <c r="B198" s="37">
        <v>1007</v>
      </c>
      <c r="C198" s="37">
        <v>72792</v>
      </c>
      <c r="D198" s="37">
        <v>74</v>
      </c>
      <c r="E198" s="37">
        <v>3378</v>
      </c>
      <c r="F198" s="36">
        <f t="shared" si="5"/>
        <v>77251</v>
      </c>
    </row>
    <row r="199" spans="1:7" x14ac:dyDescent="0.2">
      <c r="A199" s="21">
        <v>44865</v>
      </c>
      <c r="B199" s="37">
        <v>1770</v>
      </c>
      <c r="C199" s="37">
        <v>77196</v>
      </c>
      <c r="D199" s="37">
        <v>136</v>
      </c>
      <c r="E199" s="37">
        <v>3885</v>
      </c>
      <c r="F199" s="36">
        <f t="shared" si="5"/>
        <v>82987</v>
      </c>
      <c r="G199" s="38"/>
    </row>
    <row r="200" spans="1:7" x14ac:dyDescent="0.2">
      <c r="A200" s="21">
        <v>44895</v>
      </c>
      <c r="B200" s="37">
        <v>2817</v>
      </c>
      <c r="C200" s="37">
        <v>86558</v>
      </c>
      <c r="D200" s="37">
        <v>175</v>
      </c>
      <c r="E200" s="37">
        <v>4313</v>
      </c>
      <c r="F200" s="36">
        <f t="shared" si="5"/>
        <v>93863</v>
      </c>
    </row>
    <row r="201" spans="1:7" x14ac:dyDescent="0.2">
      <c r="A201" s="21">
        <v>44926</v>
      </c>
      <c r="B201" s="37">
        <v>2824</v>
      </c>
      <c r="C201" s="37">
        <v>84189</v>
      </c>
      <c r="D201" s="37">
        <v>148</v>
      </c>
      <c r="E201" s="37">
        <v>4194</v>
      </c>
      <c r="F201" s="36">
        <f t="shared" si="5"/>
        <v>91355</v>
      </c>
    </row>
    <row r="202" spans="1:7" x14ac:dyDescent="0.2">
      <c r="A202" s="21">
        <v>44957</v>
      </c>
      <c r="B202" s="37">
        <v>2188</v>
      </c>
      <c r="C202" s="37">
        <v>76062</v>
      </c>
      <c r="D202" s="37">
        <v>118</v>
      </c>
      <c r="E202" s="37">
        <v>3909</v>
      </c>
      <c r="F202" s="36">
        <f t="shared" si="5"/>
        <v>82277</v>
      </c>
      <c r="G202" s="7"/>
    </row>
    <row r="203" spans="1:7" x14ac:dyDescent="0.2">
      <c r="A203" s="21">
        <v>44985</v>
      </c>
      <c r="B203" s="37">
        <v>1702</v>
      </c>
      <c r="C203" s="37">
        <v>76950</v>
      </c>
      <c r="D203" s="37">
        <v>90</v>
      </c>
      <c r="E203" s="37">
        <v>3820</v>
      </c>
      <c r="F203" s="36">
        <f t="shared" si="5"/>
        <v>82562</v>
      </c>
      <c r="G203" s="7"/>
    </row>
    <row r="204" spans="1:7" x14ac:dyDescent="0.2">
      <c r="A204" s="21">
        <v>45016</v>
      </c>
      <c r="B204" s="37">
        <v>1701</v>
      </c>
      <c r="C204" s="37">
        <v>83103</v>
      </c>
      <c r="D204" s="37">
        <v>91</v>
      </c>
      <c r="E204" s="37">
        <v>4061</v>
      </c>
      <c r="F204" s="36">
        <f t="shared" si="5"/>
        <v>88956</v>
      </c>
      <c r="G204" s="7"/>
    </row>
    <row r="205" spans="1:7" x14ac:dyDescent="0.2">
      <c r="A205" s="21">
        <v>45046</v>
      </c>
      <c r="B205" s="37">
        <v>736</v>
      </c>
      <c r="C205" s="37">
        <v>64604</v>
      </c>
      <c r="D205" s="37">
        <v>24</v>
      </c>
      <c r="E205" s="37">
        <v>2702</v>
      </c>
      <c r="F205" s="36">
        <f t="shared" si="5"/>
        <v>68066</v>
      </c>
      <c r="G205" s="7"/>
    </row>
    <row r="206" spans="1:7" x14ac:dyDescent="0.2">
      <c r="A206" s="21">
        <v>45077</v>
      </c>
      <c r="B206" s="37">
        <v>1097</v>
      </c>
      <c r="C206" s="37">
        <v>79274</v>
      </c>
      <c r="D206" s="37">
        <v>65</v>
      </c>
      <c r="E206" s="37">
        <v>3398</v>
      </c>
      <c r="F206" s="36">
        <f t="shared" si="5"/>
        <v>83834</v>
      </c>
      <c r="G206" s="7"/>
    </row>
    <row r="207" spans="1:7" x14ac:dyDescent="0.2">
      <c r="A207" s="21">
        <v>45107</v>
      </c>
      <c r="B207" s="37">
        <v>1512</v>
      </c>
      <c r="C207" s="37">
        <v>81632</v>
      </c>
      <c r="D207" s="37">
        <v>57</v>
      </c>
      <c r="E207" s="37">
        <v>3361</v>
      </c>
      <c r="F207" s="36">
        <f t="shared" si="5"/>
        <v>86562</v>
      </c>
      <c r="G207" s="7"/>
    </row>
    <row r="208" spans="1:7" x14ac:dyDescent="0.2">
      <c r="A208" s="21">
        <v>45138</v>
      </c>
      <c r="B208" s="37">
        <v>1735</v>
      </c>
      <c r="C208" s="37">
        <v>78874</v>
      </c>
      <c r="D208" s="37">
        <v>52</v>
      </c>
      <c r="E208" s="37">
        <v>3386</v>
      </c>
      <c r="F208" s="36">
        <f t="shared" si="5"/>
        <v>84047</v>
      </c>
      <c r="G208" s="7"/>
    </row>
    <row r="209" spans="1:7" x14ac:dyDescent="0.2">
      <c r="A209" s="21">
        <v>45169</v>
      </c>
      <c r="B209" s="37">
        <v>1122</v>
      </c>
      <c r="C209" s="37">
        <v>74547</v>
      </c>
      <c r="D209" s="37">
        <v>47</v>
      </c>
      <c r="E209" s="37">
        <v>3496</v>
      </c>
      <c r="F209" s="36">
        <f t="shared" si="5"/>
        <v>79212</v>
      </c>
      <c r="G209" s="7"/>
    </row>
    <row r="210" spans="1:7" x14ac:dyDescent="0.2">
      <c r="A210" s="21">
        <v>45199</v>
      </c>
      <c r="B210" s="7">
        <v>907</v>
      </c>
      <c r="C210" s="37">
        <v>73714</v>
      </c>
      <c r="D210" s="37">
        <v>68</v>
      </c>
      <c r="E210" s="37">
        <v>3689</v>
      </c>
      <c r="F210" s="36">
        <f t="shared" si="5"/>
        <v>78378</v>
      </c>
      <c r="G210" s="7"/>
    </row>
    <row r="211" spans="1:7" x14ac:dyDescent="0.2">
      <c r="A211" s="21">
        <v>45230</v>
      </c>
      <c r="B211" s="7">
        <v>1609</v>
      </c>
      <c r="C211" s="37">
        <v>77213</v>
      </c>
      <c r="D211" s="37">
        <v>133</v>
      </c>
      <c r="E211" s="37">
        <v>3965</v>
      </c>
      <c r="F211" s="36">
        <f t="shared" si="5"/>
        <v>82920</v>
      </c>
      <c r="G211" s="7"/>
    </row>
    <row r="212" spans="1:7" x14ac:dyDescent="0.2">
      <c r="A212" s="21">
        <v>45260</v>
      </c>
      <c r="B212" s="37">
        <f>2556-1</f>
        <v>2555</v>
      </c>
      <c r="C212" s="37">
        <f>85884-77</f>
        <v>85807</v>
      </c>
      <c r="D212" s="37">
        <v>194</v>
      </c>
      <c r="E212" s="37">
        <v>4698</v>
      </c>
      <c r="F212" s="36">
        <f t="shared" si="5"/>
        <v>93254</v>
      </c>
      <c r="G212" s="7"/>
    </row>
    <row r="213" spans="1:7" x14ac:dyDescent="0.2">
      <c r="A213" s="21">
        <v>45291</v>
      </c>
      <c r="B213" s="37">
        <v>2513</v>
      </c>
      <c r="C213" s="37">
        <v>84214</v>
      </c>
      <c r="D213" s="37">
        <v>155</v>
      </c>
      <c r="E213" s="37">
        <v>4482</v>
      </c>
      <c r="F213" s="36">
        <f t="shared" si="5"/>
        <v>91364</v>
      </c>
      <c r="G213" s="7"/>
    </row>
    <row r="214" spans="1:7" x14ac:dyDescent="0.2">
      <c r="A214" s="21">
        <v>45322</v>
      </c>
      <c r="B214" s="7">
        <v>2149</v>
      </c>
      <c r="C214" s="7">
        <v>81407</v>
      </c>
      <c r="D214" s="7">
        <v>196</v>
      </c>
      <c r="E214" s="7">
        <v>5435</v>
      </c>
      <c r="F214" s="36">
        <f t="shared" si="5"/>
        <v>89187</v>
      </c>
    </row>
    <row r="215" spans="1:7" x14ac:dyDescent="0.2">
      <c r="A215" s="21">
        <v>45351</v>
      </c>
      <c r="B215" s="7">
        <v>1788</v>
      </c>
      <c r="C215" s="7">
        <v>79632</v>
      </c>
      <c r="D215" s="7">
        <v>162</v>
      </c>
      <c r="E215" s="7">
        <v>5250</v>
      </c>
      <c r="F215" s="36">
        <f t="shared" si="5"/>
        <v>86832</v>
      </c>
    </row>
    <row r="216" spans="1:7" x14ac:dyDescent="0.2">
      <c r="A216" s="21">
        <v>45382</v>
      </c>
      <c r="B216" s="7">
        <v>1091</v>
      </c>
      <c r="C216" s="7">
        <v>72241</v>
      </c>
      <c r="D216" s="7">
        <v>77</v>
      </c>
      <c r="E216" s="7">
        <v>3695</v>
      </c>
      <c r="F216" s="36">
        <f t="shared" si="5"/>
        <v>77104</v>
      </c>
    </row>
    <row r="217" spans="1:7" x14ac:dyDescent="0.2">
      <c r="A217" s="21">
        <v>45412</v>
      </c>
      <c r="B217" s="7">
        <v>877</v>
      </c>
      <c r="C217" s="7">
        <v>69431</v>
      </c>
      <c r="D217" s="7">
        <v>27</v>
      </c>
      <c r="E217" s="7">
        <v>3052</v>
      </c>
      <c r="F217" s="36">
        <f t="shared" si="5"/>
        <v>73387</v>
      </c>
    </row>
    <row r="218" spans="1:7" x14ac:dyDescent="0.2">
      <c r="A218" s="21">
        <v>45443</v>
      </c>
      <c r="B218" s="7">
        <v>1273</v>
      </c>
      <c r="C218" s="7">
        <v>79164</v>
      </c>
      <c r="D218" s="7">
        <v>52</v>
      </c>
      <c r="E218" s="7">
        <v>3490</v>
      </c>
      <c r="F218" s="36">
        <f t="shared" si="5"/>
        <v>83979</v>
      </c>
    </row>
    <row r="219" spans="1:7" x14ac:dyDescent="0.2">
      <c r="A219" s="21">
        <v>45473</v>
      </c>
      <c r="B219" s="7">
        <v>1022</v>
      </c>
      <c r="C219" s="7">
        <v>77221</v>
      </c>
      <c r="D219" s="7">
        <v>67</v>
      </c>
      <c r="E219" s="7">
        <v>3732</v>
      </c>
      <c r="F219" s="36">
        <f t="shared" si="5"/>
        <v>82042</v>
      </c>
    </row>
    <row r="220" spans="1:7" x14ac:dyDescent="0.2">
      <c r="A220" s="21">
        <v>45504</v>
      </c>
      <c r="B220" s="7">
        <v>892</v>
      </c>
      <c r="C220" s="7">
        <v>75873</v>
      </c>
      <c r="D220" s="7">
        <v>106</v>
      </c>
      <c r="E220" s="7">
        <v>3816</v>
      </c>
      <c r="F220" s="36">
        <f t="shared" si="5"/>
        <v>80687</v>
      </c>
    </row>
    <row r="221" spans="1:7" x14ac:dyDescent="0.2">
      <c r="A221" s="21">
        <v>45535</v>
      </c>
      <c r="B221" s="7">
        <v>902</v>
      </c>
      <c r="C221" s="7">
        <v>76021</v>
      </c>
      <c r="D221" s="7">
        <v>135</v>
      </c>
      <c r="E221" s="7">
        <v>3836</v>
      </c>
      <c r="F221" s="36">
        <f t="shared" si="5"/>
        <v>80894</v>
      </c>
    </row>
    <row r="222" spans="1:7" x14ac:dyDescent="0.2">
      <c r="A222" s="21">
        <v>45565</v>
      </c>
      <c r="B222" s="7">
        <v>1114</v>
      </c>
      <c r="C222" s="7">
        <v>77156</v>
      </c>
      <c r="D222" s="7">
        <v>101</v>
      </c>
      <c r="E222" s="7">
        <v>3746</v>
      </c>
      <c r="F222" s="36">
        <f t="shared" si="5"/>
        <v>82117</v>
      </c>
    </row>
    <row r="223" spans="1:7" x14ac:dyDescent="0.2">
      <c r="A223" s="21">
        <v>45596</v>
      </c>
      <c r="F223" s="36"/>
    </row>
    <row r="224" spans="1:7" x14ac:dyDescent="0.2">
      <c r="A224" s="21">
        <v>45626</v>
      </c>
      <c r="F224" s="36"/>
    </row>
    <row r="225" spans="1:6" x14ac:dyDescent="0.2">
      <c r="A225" s="21">
        <v>45657</v>
      </c>
      <c r="F225" s="36"/>
    </row>
    <row r="226" spans="1:6" x14ac:dyDescent="0.2">
      <c r="A226" s="21"/>
      <c r="F226" s="36"/>
    </row>
    <row r="227" spans="1:6" x14ac:dyDescent="0.2">
      <c r="A227" s="2" t="s">
        <v>37</v>
      </c>
      <c r="B227" s="7">
        <f>AVERAGE(B211:B222)</f>
        <v>1482.0833333333333</v>
      </c>
      <c r="C227" s="7">
        <f t="shared" ref="C227:E227" si="6">AVERAGE(C211:C222)</f>
        <v>77948.333333333328</v>
      </c>
      <c r="D227" s="7">
        <f t="shared" si="6"/>
        <v>117.08333333333333</v>
      </c>
      <c r="E227" s="7">
        <f t="shared" si="6"/>
        <v>4099.75</v>
      </c>
      <c r="F227" s="7">
        <f>SUM(B227:E227)</f>
        <v>83647.249999999985</v>
      </c>
    </row>
    <row r="228" spans="1:6" x14ac:dyDescent="0.2">
      <c r="B228" s="7" t="s">
        <v>26</v>
      </c>
    </row>
  </sheetData>
  <mergeCells count="2">
    <mergeCell ref="B5:C5"/>
    <mergeCell ref="D5:E5"/>
  </mergeCells>
  <phoneticPr fontId="0" type="noConversion"/>
  <pageMargins left="0.75" right="0.75" top="1" bottom="1" header="0.5" footer="0.5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R227"/>
  <sheetViews>
    <sheetView zoomScaleNormal="100" workbookViewId="0">
      <pane xSplit="1" ySplit="177" topLeftCell="B211" activePane="bottomRight" state="frozen"/>
      <selection sqref="A1:XFD1048576"/>
      <selection pane="topRight" sqref="A1:XFD1048576"/>
      <selection pane="bottomLeft" sqref="A1:XFD1048576"/>
      <selection pane="bottomRight" activeCell="A211" sqref="A211"/>
    </sheetView>
  </sheetViews>
  <sheetFormatPr defaultColWidth="9.33203125" defaultRowHeight="12.75" x14ac:dyDescent="0.2"/>
  <cols>
    <col min="1" max="1" width="9.5" style="2" bestFit="1" customWidth="1"/>
    <col min="2" max="6" width="12.83203125" style="2" customWidth="1"/>
    <col min="7" max="7" width="2.83203125" style="2" customWidth="1"/>
    <col min="8" max="9" width="15.83203125" style="9" customWidth="1"/>
    <col min="10" max="10" width="3.83203125" style="10" customWidth="1"/>
    <col min="11" max="11" width="11" style="2" bestFit="1" customWidth="1"/>
    <col min="12" max="12" width="10.5" style="2" bestFit="1" customWidth="1"/>
    <col min="13" max="17" width="9.33203125" style="2"/>
    <col min="18" max="18" width="12.1640625" style="2" customWidth="1"/>
    <col min="19" max="16384" width="9.33203125" style="2"/>
  </cols>
  <sheetData>
    <row r="2" spans="1:13" x14ac:dyDescent="0.2">
      <c r="M2" s="3"/>
    </row>
    <row r="3" spans="1:13" x14ac:dyDescent="0.2">
      <c r="B3" s="11" t="s">
        <v>27</v>
      </c>
      <c r="C3" s="11"/>
      <c r="D3" s="11"/>
      <c r="E3" s="11"/>
      <c r="F3" s="11"/>
      <c r="G3" s="11"/>
      <c r="H3" s="10"/>
      <c r="I3" s="10"/>
    </row>
    <row r="4" spans="1:13" x14ac:dyDescent="0.2">
      <c r="B4" s="12" t="s">
        <v>49</v>
      </c>
      <c r="C4" s="12"/>
      <c r="D4" s="12"/>
      <c r="E4" s="12"/>
      <c r="F4" s="12"/>
      <c r="G4" s="12" t="s">
        <v>25</v>
      </c>
      <c r="H4" s="13" t="s">
        <v>40</v>
      </c>
      <c r="I4" s="13"/>
      <c r="J4" s="13"/>
    </row>
    <row r="5" spans="1:13" x14ac:dyDescent="0.2">
      <c r="B5" s="14" t="s">
        <v>23</v>
      </c>
      <c r="C5" s="14"/>
      <c r="D5" s="14" t="s">
        <v>21</v>
      </c>
      <c r="E5" s="14"/>
      <c r="F5" s="15"/>
      <c r="G5" s="16"/>
      <c r="H5" s="17"/>
      <c r="I5" s="17" t="s">
        <v>47</v>
      </c>
      <c r="J5" s="18"/>
      <c r="K5" s="5" t="s">
        <v>48</v>
      </c>
    </row>
    <row r="6" spans="1:13" ht="25.5" x14ac:dyDescent="0.2">
      <c r="A6" s="2" t="s">
        <v>32</v>
      </c>
      <c r="B6" s="19" t="s">
        <v>42</v>
      </c>
      <c r="C6" s="19" t="s">
        <v>43</v>
      </c>
      <c r="D6" s="19" t="s">
        <v>44</v>
      </c>
      <c r="E6" s="19" t="s">
        <v>45</v>
      </c>
      <c r="F6" s="19" t="s">
        <v>46</v>
      </c>
      <c r="G6" s="16"/>
      <c r="H6" s="20" t="s">
        <v>39</v>
      </c>
      <c r="I6" s="20" t="s">
        <v>33</v>
      </c>
      <c r="J6" s="18"/>
      <c r="K6" s="5" t="s">
        <v>24</v>
      </c>
    </row>
    <row r="7" spans="1:13" hidden="1" x14ac:dyDescent="0.2">
      <c r="A7" s="21">
        <v>38991</v>
      </c>
      <c r="B7" s="22">
        <v>22098</v>
      </c>
      <c r="C7" s="22">
        <v>247946</v>
      </c>
      <c r="D7" s="22">
        <v>3356</v>
      </c>
      <c r="E7" s="22">
        <v>34393</v>
      </c>
      <c r="F7" s="22">
        <f>SUM(B7:E7)</f>
        <v>307793</v>
      </c>
      <c r="G7" s="22"/>
      <c r="H7" s="9">
        <v>1771890.9</v>
      </c>
      <c r="L7" s="23"/>
    </row>
    <row r="8" spans="1:13" hidden="1" x14ac:dyDescent="0.2">
      <c r="A8" s="21">
        <f>+A7+31</f>
        <v>39022</v>
      </c>
      <c r="B8" s="22">
        <v>22734</v>
      </c>
      <c r="C8" s="22">
        <v>254816</v>
      </c>
      <c r="D8" s="22">
        <v>3384</v>
      </c>
      <c r="E8" s="22">
        <v>34536</v>
      </c>
      <c r="F8" s="22">
        <f t="shared" ref="F8:F27" si="0">SUM(B8:E8)</f>
        <v>315470</v>
      </c>
      <c r="G8" s="22"/>
      <c r="H8" s="9">
        <v>3459544.4</v>
      </c>
      <c r="L8" s="23"/>
    </row>
    <row r="9" spans="1:13" hidden="1" x14ac:dyDescent="0.2">
      <c r="A9" s="21">
        <f>+A8+30</f>
        <v>39052</v>
      </c>
      <c r="B9" s="22">
        <v>22194</v>
      </c>
      <c r="C9" s="22">
        <v>244815</v>
      </c>
      <c r="D9" s="22">
        <v>3397</v>
      </c>
      <c r="E9" s="22">
        <v>34783</v>
      </c>
      <c r="F9" s="22">
        <f t="shared" si="0"/>
        <v>305189</v>
      </c>
      <c r="G9" s="22"/>
      <c r="H9" s="9">
        <v>4738358.8</v>
      </c>
      <c r="L9" s="23"/>
    </row>
    <row r="10" spans="1:13" hidden="1" x14ac:dyDescent="0.2">
      <c r="A10" s="21">
        <f t="shared" ref="A10:A25" si="1">+A9+31</f>
        <v>39083</v>
      </c>
      <c r="B10" s="22">
        <v>22228</v>
      </c>
      <c r="C10" s="22">
        <v>233807</v>
      </c>
      <c r="D10" s="22">
        <v>3344</v>
      </c>
      <c r="E10" s="22">
        <v>34472</v>
      </c>
      <c r="F10" s="22">
        <f t="shared" si="0"/>
        <v>293851</v>
      </c>
      <c r="G10" s="22"/>
      <c r="H10" s="9">
        <v>6029085.4000000004</v>
      </c>
      <c r="L10" s="23"/>
    </row>
    <row r="11" spans="1:13" hidden="1" x14ac:dyDescent="0.2">
      <c r="A11" s="21">
        <f t="shared" si="1"/>
        <v>39114</v>
      </c>
      <c r="B11" s="22">
        <v>22890</v>
      </c>
      <c r="C11" s="22">
        <v>238453</v>
      </c>
      <c r="D11" s="22">
        <v>3320</v>
      </c>
      <c r="E11" s="22">
        <v>33785</v>
      </c>
      <c r="F11" s="22">
        <f t="shared" si="0"/>
        <v>298448</v>
      </c>
      <c r="G11" s="22"/>
      <c r="H11" s="9">
        <v>7929155.2000000002</v>
      </c>
      <c r="L11" s="23"/>
    </row>
    <row r="12" spans="1:13" hidden="1" x14ac:dyDescent="0.2">
      <c r="A12" s="21">
        <f>+A11+28</f>
        <v>39142</v>
      </c>
      <c r="B12" s="22">
        <v>23421</v>
      </c>
      <c r="C12" s="22">
        <v>243507</v>
      </c>
      <c r="D12" s="22">
        <v>3308</v>
      </c>
      <c r="E12" s="22">
        <v>34012</v>
      </c>
      <c r="F12" s="22">
        <f t="shared" si="0"/>
        <v>304248</v>
      </c>
      <c r="G12" s="22"/>
      <c r="H12" s="9">
        <v>5475319.8999999994</v>
      </c>
      <c r="L12" s="23"/>
    </row>
    <row r="13" spans="1:13" hidden="1" x14ac:dyDescent="0.2">
      <c r="A13" s="21">
        <f t="shared" si="1"/>
        <v>39173</v>
      </c>
      <c r="B13" s="22">
        <v>23980</v>
      </c>
      <c r="C13" s="22">
        <v>251051</v>
      </c>
      <c r="D13" s="22">
        <v>3356</v>
      </c>
      <c r="E13" s="22">
        <v>34131</v>
      </c>
      <c r="F13" s="22">
        <f t="shared" si="0"/>
        <v>312518</v>
      </c>
      <c r="G13" s="22"/>
      <c r="H13" s="9">
        <v>3617109</v>
      </c>
      <c r="L13" s="23"/>
    </row>
    <row r="14" spans="1:13" hidden="1" x14ac:dyDescent="0.2">
      <c r="A14" s="21">
        <f>+A13+30</f>
        <v>39203</v>
      </c>
      <c r="B14" s="22">
        <v>23370</v>
      </c>
      <c r="C14" s="22">
        <v>251834</v>
      </c>
      <c r="D14" s="22">
        <v>3348</v>
      </c>
      <c r="E14" s="22">
        <v>34367</v>
      </c>
      <c r="F14" s="22">
        <f t="shared" si="0"/>
        <v>312919</v>
      </c>
      <c r="G14" s="22"/>
      <c r="H14" s="9">
        <v>1482128.5</v>
      </c>
      <c r="L14" s="23"/>
    </row>
    <row r="15" spans="1:13" hidden="1" x14ac:dyDescent="0.2">
      <c r="A15" s="21">
        <f t="shared" si="1"/>
        <v>39234</v>
      </c>
      <c r="B15" s="22">
        <v>22994</v>
      </c>
      <c r="C15" s="22">
        <v>255479</v>
      </c>
      <c r="D15" s="22">
        <v>3330</v>
      </c>
      <c r="E15" s="22">
        <v>34086</v>
      </c>
      <c r="F15" s="22">
        <f t="shared" si="0"/>
        <v>315889</v>
      </c>
      <c r="G15" s="22"/>
      <c r="H15" s="9">
        <v>943425.8</v>
      </c>
      <c r="L15" s="23"/>
    </row>
    <row r="16" spans="1:13" hidden="1" x14ac:dyDescent="0.2">
      <c r="A16" s="21">
        <f>+A15+30</f>
        <v>39264</v>
      </c>
      <c r="B16" s="22">
        <v>22684</v>
      </c>
      <c r="C16" s="22">
        <v>257776</v>
      </c>
      <c r="D16" s="22">
        <v>3293</v>
      </c>
      <c r="E16" s="22">
        <v>33948</v>
      </c>
      <c r="F16" s="22">
        <f t="shared" si="0"/>
        <v>317701</v>
      </c>
      <c r="G16" s="22"/>
      <c r="H16" s="9">
        <v>726099.6</v>
      </c>
      <c r="L16" s="23"/>
    </row>
    <row r="17" spans="1:18" hidden="1" x14ac:dyDescent="0.2">
      <c r="A17" s="21">
        <f t="shared" si="1"/>
        <v>39295</v>
      </c>
      <c r="B17" s="22">
        <v>20174</v>
      </c>
      <c r="C17" s="22">
        <v>232365</v>
      </c>
      <c r="D17" s="22">
        <v>3245</v>
      </c>
      <c r="E17" s="22">
        <v>33676</v>
      </c>
      <c r="F17" s="22">
        <f t="shared" si="0"/>
        <v>289460</v>
      </c>
      <c r="G17" s="22"/>
      <c r="H17" s="9">
        <v>671548.6</v>
      </c>
      <c r="L17" s="23"/>
    </row>
    <row r="18" spans="1:18" hidden="1" x14ac:dyDescent="0.2">
      <c r="A18" s="21">
        <f t="shared" si="1"/>
        <v>39326</v>
      </c>
      <c r="B18" s="22">
        <v>20279</v>
      </c>
      <c r="C18" s="22">
        <v>239193</v>
      </c>
      <c r="D18" s="22">
        <v>3248</v>
      </c>
      <c r="E18" s="22">
        <v>33678</v>
      </c>
      <c r="F18" s="22">
        <f t="shared" si="0"/>
        <v>296398</v>
      </c>
      <c r="G18" s="22"/>
      <c r="H18" s="9">
        <v>747979.4</v>
      </c>
      <c r="I18" s="9">
        <f t="shared" ref="I18:I29" si="2">SUM(H7:H18)</f>
        <v>37591645.499999993</v>
      </c>
      <c r="L18" s="23"/>
    </row>
    <row r="19" spans="1:18" hidden="1" x14ac:dyDescent="0.2">
      <c r="A19" s="21">
        <f>+A18+30</f>
        <v>39356</v>
      </c>
      <c r="B19" s="22">
        <v>20472</v>
      </c>
      <c r="C19" s="22">
        <v>244349</v>
      </c>
      <c r="D19" s="22">
        <v>3227</v>
      </c>
      <c r="E19" s="22">
        <v>32447</v>
      </c>
      <c r="F19" s="22">
        <f t="shared" si="0"/>
        <v>300495</v>
      </c>
      <c r="G19" s="22"/>
      <c r="H19" s="9">
        <v>1028614.2</v>
      </c>
      <c r="I19" s="9">
        <f t="shared" si="2"/>
        <v>36848368.800000004</v>
      </c>
      <c r="L19" s="23"/>
    </row>
    <row r="20" spans="1:18" hidden="1" x14ac:dyDescent="0.2">
      <c r="A20" s="21">
        <f t="shared" si="1"/>
        <v>39387</v>
      </c>
      <c r="B20" s="22">
        <v>20277</v>
      </c>
      <c r="C20" s="22">
        <v>241485</v>
      </c>
      <c r="D20" s="22">
        <v>3048</v>
      </c>
      <c r="E20" s="22">
        <v>30179</v>
      </c>
      <c r="F20" s="22">
        <f t="shared" si="0"/>
        <v>294989</v>
      </c>
      <c r="G20" s="22"/>
      <c r="H20" s="9">
        <v>3229022</v>
      </c>
      <c r="I20" s="9">
        <f t="shared" si="2"/>
        <v>36617846.399999999</v>
      </c>
      <c r="L20" s="23"/>
    </row>
    <row r="21" spans="1:18" hidden="1" x14ac:dyDescent="0.2">
      <c r="A21" s="21">
        <f>+A20+30</f>
        <v>39417</v>
      </c>
      <c r="B21" s="22">
        <v>20069</v>
      </c>
      <c r="C21" s="22">
        <v>221520</v>
      </c>
      <c r="D21" s="22">
        <v>3086</v>
      </c>
      <c r="E21" s="22">
        <v>30404</v>
      </c>
      <c r="F21" s="22">
        <f t="shared" si="0"/>
        <v>275079</v>
      </c>
      <c r="G21" s="22"/>
      <c r="H21" s="9">
        <v>5562065</v>
      </c>
      <c r="I21" s="9">
        <f t="shared" si="2"/>
        <v>37441552.600000001</v>
      </c>
      <c r="L21" s="23"/>
    </row>
    <row r="22" spans="1:18" hidden="1" x14ac:dyDescent="0.2">
      <c r="A22" s="21">
        <f t="shared" si="1"/>
        <v>39448</v>
      </c>
      <c r="B22" s="22">
        <v>21466</v>
      </c>
      <c r="C22" s="22">
        <v>232599</v>
      </c>
      <c r="D22" s="22">
        <v>3100</v>
      </c>
      <c r="E22" s="22">
        <v>30231</v>
      </c>
      <c r="F22" s="22">
        <f t="shared" si="0"/>
        <v>287396</v>
      </c>
      <c r="G22" s="22"/>
      <c r="H22" s="9">
        <v>6263541.8000000007</v>
      </c>
      <c r="I22" s="9">
        <f t="shared" si="2"/>
        <v>37676009</v>
      </c>
      <c r="L22" s="23"/>
    </row>
    <row r="23" spans="1:18" hidden="1" x14ac:dyDescent="0.2">
      <c r="A23" s="21">
        <f t="shared" si="1"/>
        <v>39479</v>
      </c>
      <c r="B23" s="22">
        <v>21700</v>
      </c>
      <c r="C23" s="22">
        <v>232566</v>
      </c>
      <c r="D23" s="22">
        <v>3103</v>
      </c>
      <c r="E23" s="22">
        <v>30176</v>
      </c>
      <c r="F23" s="22">
        <f t="shared" si="0"/>
        <v>287545</v>
      </c>
      <c r="G23" s="22"/>
      <c r="H23" s="9">
        <v>6667719.7999999998</v>
      </c>
      <c r="I23" s="9">
        <f t="shared" si="2"/>
        <v>36414573.600000001</v>
      </c>
      <c r="L23" s="23"/>
    </row>
    <row r="24" spans="1:18" hidden="1" x14ac:dyDescent="0.2">
      <c r="A24" s="21">
        <f>+A23+29</f>
        <v>39508</v>
      </c>
      <c r="B24" s="22">
        <v>22469</v>
      </c>
      <c r="C24" s="22">
        <v>238100</v>
      </c>
      <c r="D24" s="22">
        <v>3141</v>
      </c>
      <c r="E24" s="22">
        <v>30367</v>
      </c>
      <c r="F24" s="22">
        <f t="shared" si="0"/>
        <v>294077</v>
      </c>
      <c r="G24" s="22"/>
      <c r="H24" s="9">
        <v>5906768.4000000004</v>
      </c>
      <c r="I24" s="9">
        <f t="shared" si="2"/>
        <v>36846022.100000001</v>
      </c>
      <c r="L24" s="23"/>
    </row>
    <row r="25" spans="1:18" hidden="1" x14ac:dyDescent="0.2">
      <c r="A25" s="21">
        <f t="shared" si="1"/>
        <v>39539</v>
      </c>
      <c r="B25" s="22">
        <v>22685</v>
      </c>
      <c r="C25" s="22">
        <v>245475</v>
      </c>
      <c r="D25" s="22">
        <v>3113</v>
      </c>
      <c r="E25" s="22">
        <v>30627</v>
      </c>
      <c r="F25" s="22">
        <f t="shared" si="0"/>
        <v>301900</v>
      </c>
      <c r="G25" s="22"/>
      <c r="H25" s="9">
        <v>2839532.4</v>
      </c>
      <c r="I25" s="9">
        <f t="shared" si="2"/>
        <v>36068445.5</v>
      </c>
      <c r="L25" s="23"/>
    </row>
    <row r="26" spans="1:18" hidden="1" x14ac:dyDescent="0.2">
      <c r="A26" s="21">
        <f>+A25+30</f>
        <v>39569</v>
      </c>
      <c r="B26" s="22">
        <v>21115</v>
      </c>
      <c r="C26" s="22">
        <v>226733</v>
      </c>
      <c r="D26" s="22">
        <v>3055</v>
      </c>
      <c r="E26" s="22">
        <v>30498</v>
      </c>
      <c r="F26" s="22">
        <f t="shared" si="0"/>
        <v>281401</v>
      </c>
      <c r="G26" s="22"/>
      <c r="H26" s="9">
        <v>1240494.8</v>
      </c>
      <c r="I26" s="9">
        <f t="shared" si="2"/>
        <v>35826811.799999997</v>
      </c>
      <c r="L26" s="23"/>
    </row>
    <row r="27" spans="1:18" hidden="1" x14ac:dyDescent="0.2">
      <c r="A27" s="21">
        <f>+A26+31</f>
        <v>39600</v>
      </c>
      <c r="B27" s="22">
        <v>20242</v>
      </c>
      <c r="C27" s="22">
        <v>219572</v>
      </c>
      <c r="D27" s="22">
        <v>3020</v>
      </c>
      <c r="E27" s="22">
        <v>30344</v>
      </c>
      <c r="F27" s="22">
        <f t="shared" si="0"/>
        <v>273178</v>
      </c>
      <c r="G27" s="22"/>
      <c r="H27" s="9">
        <v>652844.69999999995</v>
      </c>
      <c r="I27" s="9">
        <f t="shared" si="2"/>
        <v>35536230.700000003</v>
      </c>
      <c r="L27" s="23"/>
    </row>
    <row r="28" spans="1:18" hidden="1" x14ac:dyDescent="0.2">
      <c r="A28" s="21">
        <f>+A27+30</f>
        <v>39630</v>
      </c>
      <c r="B28" s="22">
        <v>19860</v>
      </c>
      <c r="C28" s="22">
        <v>223685</v>
      </c>
      <c r="D28" s="22">
        <v>2948</v>
      </c>
      <c r="E28" s="22">
        <v>29985</v>
      </c>
      <c r="F28" s="22">
        <f>SUM(B28:E28)</f>
        <v>276478</v>
      </c>
      <c r="G28" s="22"/>
      <c r="H28" s="9">
        <v>608517</v>
      </c>
      <c r="I28" s="9">
        <f t="shared" si="2"/>
        <v>35418648.100000001</v>
      </c>
      <c r="L28" s="23"/>
    </row>
    <row r="29" spans="1:18" hidden="1" x14ac:dyDescent="0.2">
      <c r="A29" s="21">
        <v>39661</v>
      </c>
      <c r="B29" s="22">
        <v>19681</v>
      </c>
      <c r="C29" s="22">
        <v>223279</v>
      </c>
      <c r="D29" s="22">
        <v>2934</v>
      </c>
      <c r="E29" s="22">
        <v>29852</v>
      </c>
      <c r="F29" s="22">
        <f>SUM(B29:E29)</f>
        <v>275746</v>
      </c>
      <c r="G29" s="22"/>
      <c r="H29" s="9">
        <v>608756.30000000005</v>
      </c>
      <c r="I29" s="9">
        <f t="shared" si="2"/>
        <v>35355855.799999997</v>
      </c>
      <c r="L29" s="23"/>
    </row>
    <row r="30" spans="1:18" hidden="1" x14ac:dyDescent="0.2">
      <c r="A30" s="21">
        <v>39692</v>
      </c>
      <c r="B30" s="22">
        <v>19680</v>
      </c>
      <c r="C30" s="22">
        <v>221847</v>
      </c>
      <c r="D30" s="22">
        <v>2767</v>
      </c>
      <c r="E30" s="22">
        <v>22921.200000000001</v>
      </c>
      <c r="F30" s="22">
        <f>SUM(B30:E30)</f>
        <v>267215.2</v>
      </c>
      <c r="G30" s="22"/>
      <c r="H30" s="9">
        <v>777494.4</v>
      </c>
      <c r="I30" s="9">
        <f>SUM(H19:H30)</f>
        <v>35385370.799999997</v>
      </c>
      <c r="L30" s="23"/>
    </row>
    <row r="31" spans="1:18" hidden="1" x14ac:dyDescent="0.2">
      <c r="A31" s="21">
        <v>39722</v>
      </c>
      <c r="B31" s="22">
        <v>19452</v>
      </c>
      <c r="C31" s="22">
        <v>217586</v>
      </c>
      <c r="D31" s="22">
        <v>2729</v>
      </c>
      <c r="E31" s="22">
        <v>25321</v>
      </c>
      <c r="F31" s="22">
        <v>265088</v>
      </c>
      <c r="G31" s="22"/>
      <c r="H31" s="9">
        <v>1664428.7999999998</v>
      </c>
      <c r="I31" s="9">
        <f t="shared" ref="I31:I66" si="3">SUM(H20:H31)</f>
        <v>36021185.399999991</v>
      </c>
      <c r="L31" s="23"/>
      <c r="M31" s="23"/>
      <c r="N31" s="23"/>
      <c r="O31" s="23"/>
      <c r="P31" s="23"/>
      <c r="Q31" s="23"/>
      <c r="R31" s="23"/>
    </row>
    <row r="32" spans="1:18" hidden="1" x14ac:dyDescent="0.2">
      <c r="A32" s="21">
        <v>39753</v>
      </c>
      <c r="B32" s="22">
        <v>18752</v>
      </c>
      <c r="C32" s="22">
        <v>199037</v>
      </c>
      <c r="D32" s="22">
        <v>2665</v>
      </c>
      <c r="E32" s="22">
        <v>24092</v>
      </c>
      <c r="F32" s="22">
        <v>244546</v>
      </c>
      <c r="G32" s="22"/>
      <c r="H32" s="9">
        <v>3827070.4</v>
      </c>
      <c r="I32" s="9">
        <f t="shared" si="3"/>
        <v>36619233.799999997</v>
      </c>
      <c r="L32" s="23"/>
      <c r="M32" s="23"/>
      <c r="N32" s="23"/>
      <c r="O32" s="23"/>
      <c r="P32" s="23"/>
      <c r="Q32" s="23"/>
      <c r="R32" s="23"/>
    </row>
    <row r="33" spans="1:18" hidden="1" x14ac:dyDescent="0.2">
      <c r="A33" s="21">
        <v>39783</v>
      </c>
      <c r="B33" s="22">
        <v>18377</v>
      </c>
      <c r="C33" s="22">
        <v>181112</v>
      </c>
      <c r="D33" s="22">
        <v>2684</v>
      </c>
      <c r="E33" s="22">
        <v>24467</v>
      </c>
      <c r="F33" s="22">
        <v>226640</v>
      </c>
      <c r="G33" s="22"/>
      <c r="H33" s="9">
        <v>5673405.6999999993</v>
      </c>
      <c r="I33" s="9">
        <f t="shared" si="3"/>
        <v>36730574.5</v>
      </c>
      <c r="L33" s="23"/>
      <c r="M33" s="23"/>
      <c r="N33" s="23"/>
      <c r="O33" s="23"/>
      <c r="P33" s="23"/>
      <c r="Q33" s="23"/>
      <c r="R33" s="23"/>
    </row>
    <row r="34" spans="1:18" hidden="1" x14ac:dyDescent="0.2">
      <c r="A34" s="21">
        <v>39814</v>
      </c>
      <c r="B34" s="22">
        <v>19010</v>
      </c>
      <c r="C34" s="22">
        <v>187280</v>
      </c>
      <c r="D34" s="22">
        <v>2721</v>
      </c>
      <c r="E34" s="22">
        <v>24141</v>
      </c>
      <c r="F34" s="22">
        <v>233152</v>
      </c>
      <c r="G34" s="22"/>
      <c r="H34" s="9">
        <v>6624255.1999999993</v>
      </c>
      <c r="I34" s="9">
        <f t="shared" si="3"/>
        <v>37091287.899999999</v>
      </c>
      <c r="L34" s="23"/>
      <c r="M34" s="23"/>
      <c r="N34" s="23"/>
      <c r="O34" s="23"/>
      <c r="P34" s="23"/>
      <c r="Q34" s="23"/>
      <c r="R34" s="23"/>
    </row>
    <row r="35" spans="1:18" hidden="1" x14ac:dyDescent="0.2">
      <c r="A35" s="21">
        <v>39845</v>
      </c>
      <c r="B35" s="22">
        <v>19248</v>
      </c>
      <c r="C35" s="22">
        <v>188187</v>
      </c>
      <c r="D35" s="22">
        <v>2723</v>
      </c>
      <c r="E35" s="22">
        <v>24047</v>
      </c>
      <c r="F35" s="22">
        <v>234205</v>
      </c>
      <c r="G35" s="22"/>
      <c r="H35" s="9">
        <v>4056326.1999999993</v>
      </c>
      <c r="I35" s="9">
        <f t="shared" si="3"/>
        <v>34479894.299999997</v>
      </c>
      <c r="L35" s="23"/>
      <c r="M35" s="23"/>
      <c r="N35" s="23"/>
      <c r="O35" s="23"/>
      <c r="P35" s="23"/>
      <c r="Q35" s="23"/>
      <c r="R35" s="23"/>
    </row>
    <row r="36" spans="1:18" hidden="1" x14ac:dyDescent="0.2">
      <c r="A36" s="21">
        <v>39873</v>
      </c>
      <c r="B36" s="22">
        <v>17696</v>
      </c>
      <c r="C36" s="22">
        <v>179657</v>
      </c>
      <c r="D36" s="22">
        <v>2725</v>
      </c>
      <c r="E36" s="22">
        <v>24331</v>
      </c>
      <c r="F36" s="22">
        <v>224409</v>
      </c>
      <c r="G36" s="22"/>
      <c r="H36" s="9">
        <v>3057408.4999999991</v>
      </c>
      <c r="I36" s="9">
        <f t="shared" si="3"/>
        <v>31630534.399999999</v>
      </c>
      <c r="L36" s="23"/>
      <c r="M36" s="23"/>
      <c r="N36" s="23"/>
      <c r="O36" s="23"/>
      <c r="P36" s="23"/>
      <c r="Q36" s="23"/>
      <c r="R36" s="23"/>
    </row>
    <row r="37" spans="1:18" hidden="1" x14ac:dyDescent="0.2">
      <c r="A37" s="21">
        <v>39904</v>
      </c>
      <c r="B37" s="22">
        <f>16360+692</f>
        <v>17052</v>
      </c>
      <c r="C37" s="22">
        <v>171859</v>
      </c>
      <c r="D37" s="22">
        <f>2608+15</f>
        <v>2623</v>
      </c>
      <c r="E37" s="22">
        <v>23164</v>
      </c>
      <c r="F37" s="22">
        <f>SUM(B37:E37)</f>
        <v>214698</v>
      </c>
      <c r="G37" s="22"/>
      <c r="H37" s="9">
        <v>1941968.3548000003</v>
      </c>
      <c r="I37" s="9">
        <f t="shared" si="3"/>
        <v>30732970.354799997</v>
      </c>
      <c r="J37" s="24"/>
      <c r="L37" s="23"/>
    </row>
    <row r="38" spans="1:18" hidden="1" x14ac:dyDescent="0.2">
      <c r="A38" s="21">
        <v>39934</v>
      </c>
      <c r="B38" s="22">
        <f>15231+580</f>
        <v>15811</v>
      </c>
      <c r="C38" s="22">
        <v>158349</v>
      </c>
      <c r="D38" s="22">
        <f>2529+13</f>
        <v>2542</v>
      </c>
      <c r="E38" s="22">
        <v>21944</v>
      </c>
      <c r="F38" s="22">
        <f>SUM(B38:E38)</f>
        <v>198646</v>
      </c>
      <c r="G38" s="22"/>
      <c r="H38" s="9">
        <v>900055.00049999997</v>
      </c>
      <c r="I38" s="9">
        <f t="shared" si="3"/>
        <v>30392530.555300001</v>
      </c>
      <c r="J38" s="24"/>
      <c r="L38" s="23"/>
    </row>
    <row r="39" spans="1:18" hidden="1" x14ac:dyDescent="0.2">
      <c r="A39" s="21">
        <v>39965</v>
      </c>
      <c r="B39" s="22">
        <f>14102+566</f>
        <v>14668</v>
      </c>
      <c r="C39" s="22">
        <v>144839</v>
      </c>
      <c r="D39" s="22">
        <f>2450+13</f>
        <v>2463</v>
      </c>
      <c r="E39" s="22">
        <v>20724</v>
      </c>
      <c r="F39" s="22">
        <f>SUM(B39:E39)</f>
        <v>182694</v>
      </c>
      <c r="G39" s="22"/>
      <c r="H39" s="9">
        <v>553514.51520000002</v>
      </c>
      <c r="I39" s="9">
        <f t="shared" si="3"/>
        <v>30293200.370499998</v>
      </c>
      <c r="J39" s="24"/>
      <c r="K39" s="2" t="s">
        <v>25</v>
      </c>
      <c r="L39" s="23"/>
    </row>
    <row r="40" spans="1:18" hidden="1" x14ac:dyDescent="0.2">
      <c r="A40" s="21">
        <v>39995</v>
      </c>
      <c r="B40" s="22">
        <f>13760+560</f>
        <v>14320</v>
      </c>
      <c r="C40" s="22">
        <v>148707</v>
      </c>
      <c r="D40" s="22">
        <f>2310+13</f>
        <v>2323</v>
      </c>
      <c r="E40" s="22">
        <v>19949</v>
      </c>
      <c r="F40" s="22">
        <f>SUM(B40:E40)</f>
        <v>185299</v>
      </c>
      <c r="G40" s="22"/>
      <c r="H40" s="9">
        <v>500286.60499999998</v>
      </c>
      <c r="I40" s="9">
        <f t="shared" si="3"/>
        <v>30184969.975499999</v>
      </c>
      <c r="J40" s="24"/>
      <c r="L40" s="23"/>
    </row>
    <row r="41" spans="1:18" hidden="1" x14ac:dyDescent="0.2">
      <c r="A41" s="21">
        <v>40026</v>
      </c>
      <c r="B41" s="22">
        <f>13155+550</f>
        <v>13705</v>
      </c>
      <c r="C41" s="22">
        <v>145999</v>
      </c>
      <c r="D41" s="22">
        <f>2248+13</f>
        <v>2261</v>
      </c>
      <c r="E41" s="22">
        <v>19652</v>
      </c>
      <c r="F41" s="22">
        <f>SUM(B41:E41)</f>
        <v>181617</v>
      </c>
      <c r="G41" s="22"/>
      <c r="H41" s="9">
        <v>484461.89999999997</v>
      </c>
      <c r="I41" s="9">
        <f t="shared" si="3"/>
        <v>30060675.5755</v>
      </c>
      <c r="J41" s="24"/>
      <c r="L41" s="23"/>
    </row>
    <row r="42" spans="1:18" hidden="1" x14ac:dyDescent="0.2">
      <c r="A42" s="21">
        <v>40057</v>
      </c>
      <c r="B42" s="22">
        <v>12558</v>
      </c>
      <c r="C42" s="22">
        <v>143680</v>
      </c>
      <c r="D42" s="22">
        <v>2216</v>
      </c>
      <c r="E42" s="22">
        <v>19623</v>
      </c>
      <c r="F42" s="22">
        <f t="shared" ref="F42:F105" si="4">SUM(B42:E42)</f>
        <v>178077</v>
      </c>
      <c r="G42" s="22"/>
      <c r="H42" s="9">
        <v>458321.69999999995</v>
      </c>
      <c r="I42" s="9">
        <f t="shared" si="3"/>
        <v>29741502.875499997</v>
      </c>
      <c r="J42" s="24"/>
      <c r="L42" s="23"/>
    </row>
    <row r="43" spans="1:18" hidden="1" x14ac:dyDescent="0.2">
      <c r="A43" s="21">
        <v>40087</v>
      </c>
      <c r="B43" s="22">
        <v>12643</v>
      </c>
      <c r="C43" s="22">
        <v>148097</v>
      </c>
      <c r="D43" s="22">
        <v>2184</v>
      </c>
      <c r="E43" s="22">
        <v>19486</v>
      </c>
      <c r="F43" s="22">
        <f t="shared" si="4"/>
        <v>182410</v>
      </c>
      <c r="G43" s="22"/>
      <c r="H43" s="9">
        <v>1163971.2</v>
      </c>
      <c r="I43" s="9">
        <f t="shared" si="3"/>
        <v>29241045.2755</v>
      </c>
      <c r="J43" s="24"/>
      <c r="L43" s="23"/>
    </row>
    <row r="44" spans="1:18" hidden="1" x14ac:dyDescent="0.2">
      <c r="A44" s="21">
        <v>40118</v>
      </c>
      <c r="B44" s="22">
        <v>12898</v>
      </c>
      <c r="C44" s="22">
        <v>153474</v>
      </c>
      <c r="D44" s="22">
        <v>2147</v>
      </c>
      <c r="E44" s="22">
        <v>19357</v>
      </c>
      <c r="F44" s="22">
        <f t="shared" si="4"/>
        <v>187876</v>
      </c>
      <c r="G44" s="22"/>
      <c r="H44" s="9">
        <v>1839799.8</v>
      </c>
      <c r="I44" s="9">
        <f t="shared" si="3"/>
        <v>27253774.675499998</v>
      </c>
      <c r="J44" s="24"/>
      <c r="L44" s="23"/>
    </row>
    <row r="45" spans="1:18" hidden="1" x14ac:dyDescent="0.2">
      <c r="A45" s="21">
        <v>40148</v>
      </c>
      <c r="B45" s="22">
        <v>13432</v>
      </c>
      <c r="C45" s="22">
        <v>154644</v>
      </c>
      <c r="D45" s="22">
        <v>2169</v>
      </c>
      <c r="E45" s="22">
        <v>19651</v>
      </c>
      <c r="F45" s="22">
        <f t="shared" si="4"/>
        <v>189896</v>
      </c>
      <c r="G45" s="22"/>
      <c r="H45" s="9">
        <v>3637482.1999999997</v>
      </c>
      <c r="I45" s="9">
        <f t="shared" si="3"/>
        <v>25217851.175499994</v>
      </c>
      <c r="J45" s="24"/>
      <c r="L45" s="23"/>
    </row>
    <row r="46" spans="1:18" hidden="1" x14ac:dyDescent="0.2">
      <c r="A46" s="21">
        <v>40179</v>
      </c>
      <c r="B46" s="22">
        <v>13413</v>
      </c>
      <c r="C46" s="22">
        <v>146103</v>
      </c>
      <c r="D46" s="22">
        <v>2201</v>
      </c>
      <c r="E46" s="22">
        <v>19881</v>
      </c>
      <c r="F46" s="22">
        <f t="shared" si="4"/>
        <v>181598</v>
      </c>
      <c r="G46" s="22"/>
      <c r="H46" s="9">
        <v>3867322.8000000003</v>
      </c>
      <c r="I46" s="9">
        <f t="shared" si="3"/>
        <v>22460918.7755</v>
      </c>
      <c r="J46" s="24"/>
      <c r="L46" s="23"/>
    </row>
    <row r="47" spans="1:18" hidden="1" x14ac:dyDescent="0.2">
      <c r="A47" s="21">
        <v>40210</v>
      </c>
      <c r="B47" s="22">
        <v>14034</v>
      </c>
      <c r="C47" s="22">
        <v>151993</v>
      </c>
      <c r="D47" s="22">
        <v>2213</v>
      </c>
      <c r="E47" s="22">
        <v>20121</v>
      </c>
      <c r="F47" s="22">
        <f t="shared" si="4"/>
        <v>188361</v>
      </c>
      <c r="G47" s="22"/>
      <c r="H47" s="9">
        <v>3716629.4</v>
      </c>
      <c r="I47" s="9">
        <f t="shared" si="3"/>
        <v>22121221.975499999</v>
      </c>
      <c r="J47" s="24"/>
      <c r="L47" s="23"/>
    </row>
    <row r="48" spans="1:18" hidden="1" x14ac:dyDescent="0.2">
      <c r="A48" s="21">
        <v>40238</v>
      </c>
      <c r="B48" s="22">
        <v>13938</v>
      </c>
      <c r="C48" s="22">
        <v>142344</v>
      </c>
      <c r="D48" s="22">
        <v>2247</v>
      </c>
      <c r="E48" s="22">
        <v>20017</v>
      </c>
      <c r="F48" s="22">
        <f t="shared" si="4"/>
        <v>178546</v>
      </c>
      <c r="G48" s="22"/>
      <c r="H48" s="9">
        <v>2342989.9</v>
      </c>
      <c r="I48" s="9">
        <f t="shared" si="3"/>
        <v>21406803.375499997</v>
      </c>
      <c r="J48" s="24"/>
      <c r="L48" s="23"/>
    </row>
    <row r="49" spans="1:12" hidden="1" x14ac:dyDescent="0.2">
      <c r="A49" s="21">
        <v>40269</v>
      </c>
      <c r="B49" s="22">
        <v>13381</v>
      </c>
      <c r="C49" s="22">
        <v>133694</v>
      </c>
      <c r="D49" s="22">
        <v>2202</v>
      </c>
      <c r="E49" s="22">
        <v>19509</v>
      </c>
      <c r="F49" s="22">
        <f t="shared" si="4"/>
        <v>168786</v>
      </c>
      <c r="G49" s="22"/>
      <c r="H49" s="9">
        <v>1051291.5</v>
      </c>
      <c r="I49" s="9">
        <f t="shared" si="3"/>
        <v>20516126.520699997</v>
      </c>
      <c r="J49" s="24"/>
      <c r="L49" s="23"/>
    </row>
    <row r="50" spans="1:12" hidden="1" x14ac:dyDescent="0.2">
      <c r="A50" s="21">
        <v>40299</v>
      </c>
      <c r="B50" s="22">
        <v>14361</v>
      </c>
      <c r="C50" s="22">
        <v>138558</v>
      </c>
      <c r="D50" s="22">
        <v>2579</v>
      </c>
      <c r="E50" s="22">
        <v>21791</v>
      </c>
      <c r="F50" s="22">
        <f t="shared" si="4"/>
        <v>177289</v>
      </c>
      <c r="G50" s="22"/>
      <c r="H50" s="9">
        <v>627644.9</v>
      </c>
      <c r="I50" s="9">
        <f t="shared" si="3"/>
        <v>20243716.420199998</v>
      </c>
      <c r="J50" s="24"/>
      <c r="L50" s="23"/>
    </row>
    <row r="51" spans="1:12" hidden="1" x14ac:dyDescent="0.2">
      <c r="A51" s="21">
        <v>40330</v>
      </c>
      <c r="B51" s="22">
        <v>12494</v>
      </c>
      <c r="C51" s="22">
        <v>125852</v>
      </c>
      <c r="D51" s="22">
        <v>2298</v>
      </c>
      <c r="E51" s="22">
        <v>20101</v>
      </c>
      <c r="F51" s="22">
        <f t="shared" si="4"/>
        <v>160745</v>
      </c>
      <c r="G51" s="22"/>
      <c r="H51" s="9">
        <v>394961.8</v>
      </c>
      <c r="I51" s="9">
        <f t="shared" si="3"/>
        <v>20085163.704999998</v>
      </c>
      <c r="J51" s="24"/>
      <c r="L51" s="23"/>
    </row>
    <row r="52" spans="1:12" hidden="1" x14ac:dyDescent="0.2">
      <c r="A52" s="21">
        <v>40360</v>
      </c>
      <c r="B52" s="22">
        <v>11284</v>
      </c>
      <c r="C52" s="22">
        <v>113793</v>
      </c>
      <c r="D52" s="22">
        <v>2038</v>
      </c>
      <c r="E52" s="22">
        <v>17840</v>
      </c>
      <c r="F52" s="22">
        <f t="shared" si="4"/>
        <v>144955</v>
      </c>
      <c r="G52" s="22"/>
      <c r="H52" s="9">
        <v>342468.9</v>
      </c>
      <c r="I52" s="9">
        <f t="shared" si="3"/>
        <v>19927345.999999996</v>
      </c>
      <c r="J52" s="24"/>
      <c r="L52" s="23"/>
    </row>
    <row r="53" spans="1:12" hidden="1" x14ac:dyDescent="0.2">
      <c r="A53" s="21">
        <v>40391</v>
      </c>
      <c r="B53" s="22">
        <v>11254</v>
      </c>
      <c r="C53" s="22">
        <v>117716</v>
      </c>
      <c r="D53" s="22">
        <v>2017</v>
      </c>
      <c r="E53" s="22">
        <v>17750</v>
      </c>
      <c r="F53" s="22">
        <f t="shared" si="4"/>
        <v>148737</v>
      </c>
      <c r="G53" s="22"/>
      <c r="H53" s="9">
        <v>349536.8</v>
      </c>
      <c r="I53" s="9">
        <f t="shared" si="3"/>
        <v>19792420.899999999</v>
      </c>
      <c r="J53" s="24"/>
      <c r="L53" s="23"/>
    </row>
    <row r="54" spans="1:12" hidden="1" x14ac:dyDescent="0.2">
      <c r="A54" s="21">
        <v>40422</v>
      </c>
      <c r="B54" s="22">
        <v>10820</v>
      </c>
      <c r="C54" s="22">
        <v>115756</v>
      </c>
      <c r="D54" s="22">
        <v>1994</v>
      </c>
      <c r="E54" s="22">
        <v>17544</v>
      </c>
      <c r="F54" s="22">
        <f t="shared" si="4"/>
        <v>146114</v>
      </c>
      <c r="G54" s="22"/>
      <c r="H54" s="9">
        <v>359924.26059999998</v>
      </c>
      <c r="I54" s="9">
        <f t="shared" si="3"/>
        <v>19694023.4606</v>
      </c>
      <c r="J54" s="24"/>
      <c r="L54" s="23"/>
    </row>
    <row r="55" spans="1:12" hidden="1" x14ac:dyDescent="0.2">
      <c r="A55" s="21">
        <v>40452</v>
      </c>
      <c r="B55" s="22">
        <v>10971</v>
      </c>
      <c r="C55" s="22">
        <v>120755</v>
      </c>
      <c r="D55" s="22">
        <v>1971</v>
      </c>
      <c r="E55" s="22">
        <v>17522</v>
      </c>
      <c r="F55" s="22">
        <f t="shared" si="4"/>
        <v>151219</v>
      </c>
      <c r="G55" s="22"/>
      <c r="H55" s="9">
        <v>764832.50540000002</v>
      </c>
      <c r="I55" s="9">
        <f t="shared" si="3"/>
        <v>19294884.765999999</v>
      </c>
      <c r="J55" s="24"/>
      <c r="L55" s="23"/>
    </row>
    <row r="56" spans="1:12" hidden="1" x14ac:dyDescent="0.2">
      <c r="A56" s="21">
        <v>40483</v>
      </c>
      <c r="B56" s="22">
        <v>10394</v>
      </c>
      <c r="C56" s="22">
        <v>116987</v>
      </c>
      <c r="D56" s="22">
        <v>1969</v>
      </c>
      <c r="E56" s="22">
        <v>17329</v>
      </c>
      <c r="F56" s="22">
        <f t="shared" si="4"/>
        <v>146679</v>
      </c>
      <c r="G56" s="22"/>
      <c r="H56" s="9">
        <v>1589149.2066000002</v>
      </c>
      <c r="I56" s="9">
        <f t="shared" si="3"/>
        <v>19044234.172600001</v>
      </c>
      <c r="J56" s="24"/>
      <c r="L56" s="23"/>
    </row>
    <row r="57" spans="1:12" hidden="1" x14ac:dyDescent="0.2">
      <c r="A57" s="21">
        <v>40513</v>
      </c>
      <c r="B57" s="22">
        <v>10758</v>
      </c>
      <c r="C57" s="22">
        <v>122757</v>
      </c>
      <c r="D57" s="22">
        <v>1957</v>
      </c>
      <c r="E57" s="22">
        <v>17334</v>
      </c>
      <c r="F57" s="22">
        <f t="shared" si="4"/>
        <v>152806</v>
      </c>
      <c r="G57" s="22"/>
      <c r="H57" s="9">
        <v>3210014.5607999992</v>
      </c>
      <c r="I57" s="9">
        <f t="shared" si="3"/>
        <v>18616766.533399999</v>
      </c>
      <c r="J57" s="24"/>
      <c r="L57" s="23"/>
    </row>
    <row r="58" spans="1:12" hidden="1" x14ac:dyDescent="0.2">
      <c r="A58" s="21">
        <v>40544</v>
      </c>
      <c r="B58" s="22">
        <v>10746</v>
      </c>
      <c r="C58" s="22">
        <v>116897</v>
      </c>
      <c r="D58" s="22">
        <v>2001</v>
      </c>
      <c r="E58" s="22">
        <v>17897</v>
      </c>
      <c r="F58" s="22">
        <f t="shared" si="4"/>
        <v>147541</v>
      </c>
      <c r="G58" s="22"/>
      <c r="H58" s="9">
        <v>3718215.4347000001</v>
      </c>
      <c r="I58" s="9">
        <f t="shared" si="3"/>
        <v>18467659.168099999</v>
      </c>
      <c r="J58" s="24"/>
      <c r="L58" s="23"/>
    </row>
    <row r="59" spans="1:12" hidden="1" x14ac:dyDescent="0.2">
      <c r="A59" s="21">
        <v>40575</v>
      </c>
      <c r="B59" s="22">
        <v>11951</v>
      </c>
      <c r="C59" s="22">
        <v>127411</v>
      </c>
      <c r="D59" s="22">
        <v>2067</v>
      </c>
      <c r="E59" s="22">
        <v>18499</v>
      </c>
      <c r="F59" s="22">
        <f t="shared" si="4"/>
        <v>159928</v>
      </c>
      <c r="G59" s="22"/>
      <c r="H59" s="9">
        <v>3706913.3141000001</v>
      </c>
      <c r="I59" s="9">
        <f t="shared" si="3"/>
        <v>18457943.082200002</v>
      </c>
      <c r="J59" s="24"/>
      <c r="L59" s="23"/>
    </row>
    <row r="60" spans="1:12" hidden="1" x14ac:dyDescent="0.2">
      <c r="A60" s="21">
        <v>40603</v>
      </c>
      <c r="B60" s="22">
        <v>11906</v>
      </c>
      <c r="C60" s="22">
        <v>125426</v>
      </c>
      <c r="D60" s="22">
        <v>2086</v>
      </c>
      <c r="E60" s="22">
        <v>18986</v>
      </c>
      <c r="F60" s="22">
        <f t="shared" si="4"/>
        <v>158404</v>
      </c>
      <c r="G60" s="22"/>
      <c r="H60" s="9">
        <v>2761829.5784000005</v>
      </c>
      <c r="I60" s="9">
        <f t="shared" si="3"/>
        <v>18876782.760600001</v>
      </c>
      <c r="J60" s="24"/>
      <c r="L60" s="23"/>
    </row>
    <row r="61" spans="1:12" hidden="1" x14ac:dyDescent="0.2">
      <c r="A61" s="21">
        <v>40634</v>
      </c>
      <c r="B61" s="22">
        <v>12094</v>
      </c>
      <c r="C61" s="22">
        <v>127115</v>
      </c>
      <c r="D61" s="22">
        <v>2097</v>
      </c>
      <c r="E61" s="22">
        <v>18909</v>
      </c>
      <c r="F61" s="22">
        <f t="shared" si="4"/>
        <v>160215</v>
      </c>
      <c r="G61" s="22"/>
      <c r="H61" s="9">
        <v>1901352.9202000003</v>
      </c>
      <c r="I61" s="9">
        <f t="shared" si="3"/>
        <v>19726844.180800002</v>
      </c>
      <c r="J61" s="24"/>
      <c r="L61" s="23"/>
    </row>
    <row r="62" spans="1:12" hidden="1" x14ac:dyDescent="0.2">
      <c r="A62" s="21">
        <v>40664</v>
      </c>
      <c r="B62" s="22">
        <v>12576</v>
      </c>
      <c r="C62" s="22">
        <v>138132</v>
      </c>
      <c r="D62" s="22">
        <v>2137</v>
      </c>
      <c r="E62" s="22">
        <v>19876</v>
      </c>
      <c r="F62" s="22">
        <f t="shared" si="4"/>
        <v>172721</v>
      </c>
      <c r="G62" s="22"/>
      <c r="H62" s="9">
        <v>1026553.6054</v>
      </c>
      <c r="I62" s="9">
        <f t="shared" si="3"/>
        <v>20125752.886200003</v>
      </c>
      <c r="J62" s="24"/>
      <c r="L62" s="23"/>
    </row>
    <row r="63" spans="1:12" hidden="1" x14ac:dyDescent="0.2">
      <c r="A63" s="21">
        <v>40695</v>
      </c>
      <c r="B63" s="22">
        <v>11933</v>
      </c>
      <c r="C63" s="22">
        <v>129651</v>
      </c>
      <c r="D63" s="22">
        <v>2090</v>
      </c>
      <c r="E63" s="22">
        <v>18945</v>
      </c>
      <c r="F63" s="22">
        <f t="shared" si="4"/>
        <v>162619</v>
      </c>
      <c r="G63" s="22"/>
      <c r="H63" s="9">
        <v>431141.30559999991</v>
      </c>
      <c r="I63" s="9">
        <f t="shared" si="3"/>
        <v>20161932.391800001</v>
      </c>
      <c r="J63" s="24"/>
      <c r="L63" s="23"/>
    </row>
    <row r="64" spans="1:12" hidden="1" x14ac:dyDescent="0.2">
      <c r="A64" s="21">
        <v>40725</v>
      </c>
      <c r="B64" s="22">
        <v>11361</v>
      </c>
      <c r="C64" s="22">
        <v>122089</v>
      </c>
      <c r="D64" s="22">
        <v>2068</v>
      </c>
      <c r="E64" s="22">
        <v>18025</v>
      </c>
      <c r="F64" s="22">
        <f t="shared" si="4"/>
        <v>153543</v>
      </c>
      <c r="G64" s="22"/>
      <c r="H64" s="9">
        <v>343863.18809999997</v>
      </c>
      <c r="I64" s="9">
        <f t="shared" si="3"/>
        <v>20163326.679900002</v>
      </c>
      <c r="J64" s="24"/>
      <c r="L64" s="23"/>
    </row>
    <row r="65" spans="1:12" hidden="1" x14ac:dyDescent="0.2">
      <c r="A65" s="21">
        <v>40756</v>
      </c>
      <c r="B65" s="22">
        <v>11060</v>
      </c>
      <c r="C65" s="22">
        <v>124306</v>
      </c>
      <c r="D65" s="22">
        <v>2017</v>
      </c>
      <c r="E65" s="22">
        <v>17515</v>
      </c>
      <c r="F65" s="22">
        <f t="shared" si="4"/>
        <v>154898</v>
      </c>
      <c r="G65" s="22"/>
      <c r="H65" s="9">
        <v>347437.42249999993</v>
      </c>
      <c r="I65" s="9">
        <f t="shared" si="3"/>
        <v>20161227.3024</v>
      </c>
      <c r="J65" s="24"/>
      <c r="L65" s="23"/>
    </row>
    <row r="66" spans="1:12" hidden="1" x14ac:dyDescent="0.2">
      <c r="A66" s="21">
        <v>40787</v>
      </c>
      <c r="B66" s="22">
        <v>11123</v>
      </c>
      <c r="C66" s="22">
        <v>121415</v>
      </c>
      <c r="D66" s="22">
        <v>2011</v>
      </c>
      <c r="E66" s="22">
        <v>17445</v>
      </c>
      <c r="F66" s="22">
        <f t="shared" si="4"/>
        <v>151994</v>
      </c>
      <c r="G66" s="22"/>
      <c r="H66" s="9">
        <v>352478.76299999998</v>
      </c>
      <c r="I66" s="9">
        <f t="shared" si="3"/>
        <v>20153781.8048</v>
      </c>
      <c r="J66" s="24"/>
      <c r="L66" s="23"/>
    </row>
    <row r="67" spans="1:12" hidden="1" x14ac:dyDescent="0.2">
      <c r="A67" s="21">
        <v>40817</v>
      </c>
      <c r="B67" s="22">
        <v>11122</v>
      </c>
      <c r="C67" s="22">
        <v>124193</v>
      </c>
      <c r="D67" s="22">
        <v>1997</v>
      </c>
      <c r="E67" s="22">
        <v>17425</v>
      </c>
      <c r="F67" s="22">
        <f t="shared" si="4"/>
        <v>154737</v>
      </c>
      <c r="G67" s="22"/>
      <c r="H67" s="9">
        <v>910485.52759999991</v>
      </c>
      <c r="I67" s="9">
        <f t="shared" ref="I67:I88" si="5">SUM(H56:H67)</f>
        <v>20299434.827</v>
      </c>
      <c r="J67" s="24"/>
      <c r="L67" s="23"/>
    </row>
    <row r="68" spans="1:12" hidden="1" x14ac:dyDescent="0.2">
      <c r="A68" s="21">
        <v>40848</v>
      </c>
      <c r="B68" s="22">
        <v>10170</v>
      </c>
      <c r="C68" s="22">
        <v>118431</v>
      </c>
      <c r="D68" s="22">
        <v>1984</v>
      </c>
      <c r="E68" s="22">
        <v>17477</v>
      </c>
      <c r="F68" s="22">
        <f t="shared" si="4"/>
        <v>148062</v>
      </c>
      <c r="G68" s="22"/>
      <c r="H68" s="9">
        <v>1363322.4042</v>
      </c>
      <c r="I68" s="9">
        <f t="shared" si="5"/>
        <v>20073608.024599999</v>
      </c>
      <c r="J68" s="24"/>
      <c r="L68" s="23"/>
    </row>
    <row r="69" spans="1:12" hidden="1" x14ac:dyDescent="0.2">
      <c r="A69" s="21">
        <v>40878</v>
      </c>
      <c r="B69" s="22">
        <v>9895</v>
      </c>
      <c r="C69" s="22">
        <v>116086</v>
      </c>
      <c r="D69" s="22">
        <v>1977</v>
      </c>
      <c r="E69" s="22">
        <v>17446</v>
      </c>
      <c r="F69" s="22">
        <f t="shared" si="4"/>
        <v>145404</v>
      </c>
      <c r="G69" s="22"/>
      <c r="H69" s="9">
        <v>2309477.1975000002</v>
      </c>
      <c r="I69" s="9">
        <f t="shared" si="5"/>
        <v>19173070.661300004</v>
      </c>
      <c r="J69" s="24"/>
      <c r="L69" s="23"/>
    </row>
    <row r="70" spans="1:12" hidden="1" x14ac:dyDescent="0.2">
      <c r="A70" s="21">
        <v>40909</v>
      </c>
      <c r="B70" s="22">
        <v>11027</v>
      </c>
      <c r="C70" s="22">
        <v>125104</v>
      </c>
      <c r="D70" s="22">
        <v>2030</v>
      </c>
      <c r="E70" s="22">
        <v>18125</v>
      </c>
      <c r="F70" s="22">
        <f t="shared" si="4"/>
        <v>156286</v>
      </c>
      <c r="G70" s="22"/>
      <c r="H70" s="9">
        <v>3832575.2874999996</v>
      </c>
      <c r="I70" s="9">
        <f t="shared" si="5"/>
        <v>19287430.5141</v>
      </c>
      <c r="J70" s="24"/>
      <c r="L70" s="23"/>
    </row>
    <row r="71" spans="1:12" hidden="1" x14ac:dyDescent="0.2">
      <c r="A71" s="21">
        <v>40940</v>
      </c>
      <c r="B71" s="22">
        <v>12100</v>
      </c>
      <c r="C71" s="22">
        <v>137123</v>
      </c>
      <c r="D71" s="22">
        <v>2077</v>
      </c>
      <c r="E71" s="22">
        <v>18335</v>
      </c>
      <c r="F71" s="22">
        <f t="shared" si="4"/>
        <v>169635</v>
      </c>
      <c r="G71" s="22"/>
      <c r="H71" s="9">
        <v>3292790.5832000002</v>
      </c>
      <c r="I71" s="9">
        <f t="shared" si="5"/>
        <v>18873307.783199999</v>
      </c>
      <c r="J71" s="24"/>
      <c r="L71" s="23"/>
    </row>
    <row r="72" spans="1:12" hidden="1" x14ac:dyDescent="0.2">
      <c r="A72" s="21">
        <v>40969</v>
      </c>
      <c r="B72" s="22">
        <v>12279</v>
      </c>
      <c r="C72" s="22">
        <v>138048</v>
      </c>
      <c r="D72" s="22">
        <v>2102</v>
      </c>
      <c r="E72" s="22">
        <v>18909</v>
      </c>
      <c r="F72" s="22">
        <f t="shared" si="4"/>
        <v>171338</v>
      </c>
      <c r="G72" s="22"/>
      <c r="H72" s="9">
        <v>2798258.6924000001</v>
      </c>
      <c r="I72" s="9">
        <f t="shared" si="5"/>
        <v>18909736.8972</v>
      </c>
      <c r="J72" s="24"/>
      <c r="L72" s="23"/>
    </row>
    <row r="73" spans="1:12" hidden="1" x14ac:dyDescent="0.2">
      <c r="A73" s="21">
        <v>41000</v>
      </c>
      <c r="B73" s="22">
        <v>12620</v>
      </c>
      <c r="C73" s="22">
        <v>139608</v>
      </c>
      <c r="D73" s="22">
        <v>2116</v>
      </c>
      <c r="E73" s="22">
        <v>18689</v>
      </c>
      <c r="F73" s="22">
        <f t="shared" si="4"/>
        <v>173033</v>
      </c>
      <c r="G73" s="22"/>
      <c r="H73" s="9">
        <v>1332494.2368000001</v>
      </c>
      <c r="I73" s="9">
        <f t="shared" si="5"/>
        <v>18340878.213799998</v>
      </c>
      <c r="J73" s="24"/>
      <c r="L73" s="23"/>
    </row>
    <row r="74" spans="1:12" hidden="1" x14ac:dyDescent="0.2">
      <c r="A74" s="21">
        <v>41030</v>
      </c>
      <c r="B74" s="22">
        <v>12840</v>
      </c>
      <c r="C74" s="22">
        <v>148263</v>
      </c>
      <c r="D74" s="22">
        <v>2163</v>
      </c>
      <c r="E74" s="22">
        <v>19320</v>
      </c>
      <c r="F74" s="22">
        <f t="shared" si="4"/>
        <v>182586</v>
      </c>
      <c r="G74" s="22"/>
      <c r="H74" s="9">
        <v>701841.08190000011</v>
      </c>
      <c r="I74" s="9">
        <f t="shared" si="5"/>
        <v>18016165.690299999</v>
      </c>
      <c r="J74" s="24"/>
      <c r="L74" s="23"/>
    </row>
    <row r="75" spans="1:12" hidden="1" x14ac:dyDescent="0.2">
      <c r="A75" s="21">
        <v>41061</v>
      </c>
      <c r="B75" s="22">
        <v>12609</v>
      </c>
      <c r="C75" s="22">
        <v>146377</v>
      </c>
      <c r="D75" s="22">
        <v>2162</v>
      </c>
      <c r="E75" s="22">
        <v>19366</v>
      </c>
      <c r="F75" s="22">
        <f t="shared" si="4"/>
        <v>180514</v>
      </c>
      <c r="G75" s="22"/>
      <c r="H75" s="9">
        <v>368007.44839999994</v>
      </c>
      <c r="I75" s="9">
        <f t="shared" si="5"/>
        <v>17953031.833099999</v>
      </c>
      <c r="J75" s="24"/>
      <c r="L75" s="23"/>
    </row>
    <row r="76" spans="1:12" hidden="1" x14ac:dyDescent="0.2">
      <c r="A76" s="21">
        <v>41091</v>
      </c>
      <c r="B76" s="22">
        <v>11924</v>
      </c>
      <c r="C76" s="22">
        <v>139751</v>
      </c>
      <c r="D76" s="22">
        <v>2120</v>
      </c>
      <c r="E76" s="22">
        <v>18965</v>
      </c>
      <c r="F76" s="22">
        <f t="shared" si="4"/>
        <v>172760</v>
      </c>
      <c r="G76" s="22"/>
      <c r="H76" s="9">
        <v>342530.22509999998</v>
      </c>
      <c r="I76" s="9">
        <f t="shared" si="5"/>
        <v>17951698.870099999</v>
      </c>
      <c r="J76" s="24"/>
      <c r="L76" s="23"/>
    </row>
    <row r="77" spans="1:12" hidden="1" x14ac:dyDescent="0.2">
      <c r="A77" s="21">
        <v>41122</v>
      </c>
      <c r="B77" s="22">
        <v>12083</v>
      </c>
      <c r="C77" s="22">
        <v>138788</v>
      </c>
      <c r="D77" s="22">
        <v>2095</v>
      </c>
      <c r="E77" s="22">
        <v>18649</v>
      </c>
      <c r="F77" s="22">
        <f t="shared" si="4"/>
        <v>171615</v>
      </c>
      <c r="G77" s="22"/>
      <c r="H77" s="9">
        <v>341837.11780000001</v>
      </c>
      <c r="I77" s="9">
        <f t="shared" si="5"/>
        <v>17946098.565400001</v>
      </c>
      <c r="J77" s="24"/>
      <c r="L77" s="23"/>
    </row>
    <row r="78" spans="1:12" hidden="1" x14ac:dyDescent="0.2">
      <c r="A78" s="21">
        <v>41153</v>
      </c>
      <c r="B78" s="22">
        <v>11843</v>
      </c>
      <c r="C78" s="22">
        <v>137185</v>
      </c>
      <c r="D78" s="22">
        <v>2084</v>
      </c>
      <c r="E78" s="22">
        <v>18507</v>
      </c>
      <c r="F78" s="22">
        <f t="shared" si="4"/>
        <v>169619</v>
      </c>
      <c r="G78" s="22"/>
      <c r="H78" s="9">
        <v>382657.07859999995</v>
      </c>
      <c r="I78" s="9">
        <f t="shared" si="5"/>
        <v>17976276.881000001</v>
      </c>
      <c r="J78" s="24"/>
      <c r="L78" s="23"/>
    </row>
    <row r="79" spans="1:12" hidden="1" x14ac:dyDescent="0.2">
      <c r="A79" s="21">
        <v>41183</v>
      </c>
      <c r="B79" s="22">
        <v>12058</v>
      </c>
      <c r="C79" s="22">
        <v>143601</v>
      </c>
      <c r="D79" s="22">
        <v>2062</v>
      </c>
      <c r="E79" s="22">
        <v>18469</v>
      </c>
      <c r="F79" s="22">
        <f t="shared" si="4"/>
        <v>176190</v>
      </c>
      <c r="G79" s="22"/>
      <c r="H79" s="9">
        <v>758736.2</v>
      </c>
      <c r="I79" s="9">
        <f t="shared" si="5"/>
        <v>17824527.553399999</v>
      </c>
      <c r="J79" s="24"/>
      <c r="L79" s="23"/>
    </row>
    <row r="80" spans="1:12" hidden="1" x14ac:dyDescent="0.2">
      <c r="A80" s="21">
        <v>41214</v>
      </c>
      <c r="B80" s="22">
        <v>11449</v>
      </c>
      <c r="C80" s="22">
        <v>140512</v>
      </c>
      <c r="D80" s="22">
        <v>2050</v>
      </c>
      <c r="E80" s="22">
        <v>18355</v>
      </c>
      <c r="F80" s="22">
        <f t="shared" si="4"/>
        <v>172366</v>
      </c>
      <c r="G80" s="22"/>
      <c r="H80" s="9">
        <v>1774038.5</v>
      </c>
      <c r="I80" s="9">
        <f t="shared" si="5"/>
        <v>18235243.6492</v>
      </c>
      <c r="J80" s="24"/>
      <c r="L80" s="23"/>
    </row>
    <row r="81" spans="1:12" hidden="1" x14ac:dyDescent="0.2">
      <c r="A81" s="21">
        <v>41244</v>
      </c>
      <c r="B81" s="22">
        <v>11852</v>
      </c>
      <c r="C81" s="22">
        <v>144715</v>
      </c>
      <c r="D81" s="22">
        <v>2055</v>
      </c>
      <c r="E81" s="22">
        <v>18530</v>
      </c>
      <c r="F81" s="22">
        <f t="shared" si="4"/>
        <v>177152</v>
      </c>
      <c r="G81" s="22"/>
      <c r="H81" s="9">
        <v>2767714.4</v>
      </c>
      <c r="I81" s="9">
        <f t="shared" si="5"/>
        <v>18693480.851699997</v>
      </c>
      <c r="J81" s="24"/>
      <c r="L81" s="23"/>
    </row>
    <row r="82" spans="1:12" hidden="1" x14ac:dyDescent="0.2">
      <c r="A82" s="21">
        <v>41275</v>
      </c>
      <c r="B82" s="22">
        <v>12297</v>
      </c>
      <c r="C82" s="22">
        <v>140403</v>
      </c>
      <c r="D82" s="22">
        <v>2090</v>
      </c>
      <c r="E82" s="22">
        <v>18659</v>
      </c>
      <c r="F82" s="22">
        <f t="shared" si="4"/>
        <v>173449</v>
      </c>
      <c r="G82" s="22"/>
      <c r="H82" s="9">
        <v>3930644.9999999995</v>
      </c>
      <c r="I82" s="9">
        <f t="shared" si="5"/>
        <v>18791550.564199999</v>
      </c>
      <c r="J82" s="24"/>
      <c r="L82" s="23"/>
    </row>
    <row r="83" spans="1:12" hidden="1" x14ac:dyDescent="0.2">
      <c r="A83" s="21">
        <v>41306</v>
      </c>
      <c r="B83" s="22">
        <v>13391</v>
      </c>
      <c r="C83" s="22">
        <v>148811</v>
      </c>
      <c r="D83" s="22">
        <v>2183</v>
      </c>
      <c r="E83" s="22">
        <v>19501</v>
      </c>
      <c r="F83" s="22">
        <f t="shared" si="4"/>
        <v>183886</v>
      </c>
      <c r="G83" s="22"/>
      <c r="H83" s="9">
        <v>4212942</v>
      </c>
      <c r="I83" s="9">
        <f t="shared" si="5"/>
        <v>19711701.980999999</v>
      </c>
      <c r="J83" s="24"/>
      <c r="L83" s="23"/>
    </row>
    <row r="84" spans="1:12" hidden="1" x14ac:dyDescent="0.2">
      <c r="A84" s="21">
        <v>41334</v>
      </c>
      <c r="B84" s="22">
        <v>13641</v>
      </c>
      <c r="C84" s="22">
        <v>153200</v>
      </c>
      <c r="D84" s="22">
        <v>2178</v>
      </c>
      <c r="E84" s="22">
        <v>19799</v>
      </c>
      <c r="F84" s="22">
        <f t="shared" si="4"/>
        <v>188818</v>
      </c>
      <c r="G84" s="22"/>
      <c r="H84" s="9">
        <f>-6.5+991669.2+228394.8-970222.8-244.3+260.8+240961.4+1000583.5+352.9+3.2+0.3-2.2+235329-6.5+91.7</f>
        <v>1727164.5</v>
      </c>
      <c r="I84" s="9">
        <f t="shared" si="5"/>
        <v>18640607.788599998</v>
      </c>
      <c r="J84" s="24"/>
      <c r="L84" s="23"/>
    </row>
    <row r="85" spans="1:12" hidden="1" x14ac:dyDescent="0.2">
      <c r="A85" s="21">
        <v>41365</v>
      </c>
      <c r="B85" s="22">
        <v>0</v>
      </c>
      <c r="C85" s="22">
        <v>152402</v>
      </c>
      <c r="D85" s="22">
        <v>0</v>
      </c>
      <c r="E85" s="22">
        <v>19695</v>
      </c>
      <c r="F85" s="22">
        <f t="shared" si="4"/>
        <v>172097</v>
      </c>
      <c r="G85" s="22"/>
      <c r="H85" s="9">
        <v>2094619.2999999998</v>
      </c>
      <c r="I85" s="9">
        <f t="shared" si="5"/>
        <v>19402732.851799998</v>
      </c>
      <c r="J85" s="24"/>
      <c r="L85" s="23"/>
    </row>
    <row r="86" spans="1:12" hidden="1" x14ac:dyDescent="0.2">
      <c r="A86" s="21">
        <v>41395</v>
      </c>
      <c r="B86" s="22">
        <v>0</v>
      </c>
      <c r="C86" s="22">
        <v>177777</v>
      </c>
      <c r="D86" s="22">
        <v>0</v>
      </c>
      <c r="E86" s="22">
        <v>20368</v>
      </c>
      <c r="F86" s="22">
        <f t="shared" si="4"/>
        <v>198145</v>
      </c>
      <c r="G86" s="22"/>
      <c r="H86" s="9">
        <f>-29.6+156992.6-153.5-131.5-39.2+78320.4+0.7+234655.2+156071.5-33.9+42.5-11.4+346.2-88.8+78915.4</f>
        <v>704856.59999999986</v>
      </c>
      <c r="I86" s="9">
        <f t="shared" si="5"/>
        <v>19405748.369899999</v>
      </c>
      <c r="J86" s="24"/>
      <c r="L86" s="23"/>
    </row>
    <row r="87" spans="1:12" hidden="1" x14ac:dyDescent="0.2">
      <c r="A87" s="21">
        <v>41426</v>
      </c>
      <c r="B87" s="22">
        <v>0</v>
      </c>
      <c r="C87" s="22">
        <v>162171</v>
      </c>
      <c r="D87" s="22">
        <v>0</v>
      </c>
      <c r="E87" s="22">
        <v>20872</v>
      </c>
      <c r="F87" s="22">
        <f t="shared" si="4"/>
        <v>183043</v>
      </c>
      <c r="G87" s="22"/>
      <c r="H87" s="9">
        <f>89056.1+579.3+41.6+46111.1+1973.2+134123.4+89312.5+2001.7-42.6+0.9+2227.5+46143.4</f>
        <v>411528.10000000009</v>
      </c>
      <c r="I87" s="9">
        <f t="shared" si="5"/>
        <v>19449269.021500003</v>
      </c>
      <c r="J87" s="24"/>
      <c r="L87" s="23"/>
    </row>
    <row r="88" spans="1:12" hidden="1" x14ac:dyDescent="0.2">
      <c r="A88" s="21">
        <v>41456</v>
      </c>
      <c r="B88" s="22">
        <v>0</v>
      </c>
      <c r="C88" s="22">
        <v>159518</v>
      </c>
      <c r="D88" s="22">
        <v>0</v>
      </c>
      <c r="E88" s="22">
        <v>20299</v>
      </c>
      <c r="F88" s="22">
        <f t="shared" si="4"/>
        <v>179817</v>
      </c>
      <c r="G88" s="22"/>
      <c r="H88" s="9">
        <f>-55.8+60158.4-608.1-82+91.1+32089.4+3883.9+88413+59840.4+3919.5-12+3549.1-22.7-1.8+31892.2</f>
        <v>283054.59999999998</v>
      </c>
      <c r="I88" s="9">
        <f t="shared" si="5"/>
        <v>19389793.396400005</v>
      </c>
      <c r="J88" s="24"/>
      <c r="L88" s="23"/>
    </row>
    <row r="89" spans="1:12" hidden="1" x14ac:dyDescent="0.2">
      <c r="A89" s="21">
        <v>41487</v>
      </c>
      <c r="B89" s="22">
        <v>0</v>
      </c>
      <c r="C89" s="22">
        <v>159249</v>
      </c>
      <c r="D89" s="22">
        <v>0</v>
      </c>
      <c r="E89" s="22">
        <v>20044</v>
      </c>
      <c r="F89" s="22">
        <f t="shared" si="4"/>
        <v>179293</v>
      </c>
      <c r="G89" s="22"/>
      <c r="H89" s="9">
        <f>-51.8+53155.2-26.3-19.8-6.5+29729.6+5249+78677.8+53316.9+5407.3-2.9-3.4+5335.9-70.4-3.1+29766.8</f>
        <v>260454.3</v>
      </c>
      <c r="I89" s="9">
        <f>SUM(H78:H89)</f>
        <v>19308410.578600004</v>
      </c>
      <c r="J89" s="24"/>
      <c r="L89" s="23"/>
    </row>
    <row r="90" spans="1:12" hidden="1" x14ac:dyDescent="0.2">
      <c r="A90" s="21">
        <v>41518</v>
      </c>
      <c r="B90" s="22">
        <v>0</v>
      </c>
      <c r="C90" s="22">
        <v>158269</v>
      </c>
      <c r="D90" s="22">
        <v>0</v>
      </c>
      <c r="E90" s="22">
        <v>19825</v>
      </c>
      <c r="F90" s="22">
        <f t="shared" si="4"/>
        <v>178094</v>
      </c>
      <c r="G90" s="22"/>
      <c r="H90" s="9">
        <f>59061.4-44.5+109+6.7+33627.6+7298.7+86104.7+58911.8-1.1+7615.1-18.6+7156.3+33153.7</f>
        <v>292980.79999999993</v>
      </c>
      <c r="I90" s="9">
        <f t="shared" ref="I90:I114" si="6">SUM(H79:H90)</f>
        <v>19218734.300000004</v>
      </c>
      <c r="J90" s="24"/>
      <c r="L90" s="23"/>
    </row>
    <row r="91" spans="1:12" hidden="1" x14ac:dyDescent="0.2">
      <c r="A91" s="21">
        <v>41548</v>
      </c>
      <c r="B91" s="22">
        <v>0</v>
      </c>
      <c r="C91" s="22">
        <v>162177</v>
      </c>
      <c r="D91" s="22">
        <v>0</v>
      </c>
      <c r="E91" s="22">
        <v>19719</v>
      </c>
      <c r="F91" s="22">
        <f t="shared" si="4"/>
        <v>181896</v>
      </c>
      <c r="G91" s="22"/>
      <c r="H91" s="9">
        <f>-19.5+102779.8+7+2.5-14.9+59298+16707.9+145024+101653.3+16547.1+16673.4-118+59327.6</f>
        <v>517868.2</v>
      </c>
      <c r="I91" s="9">
        <f t="shared" si="6"/>
        <v>18977866.300000004</v>
      </c>
      <c r="J91" s="24"/>
      <c r="L91" s="23"/>
    </row>
    <row r="92" spans="1:12" hidden="1" x14ac:dyDescent="0.2">
      <c r="A92" s="21">
        <v>41579</v>
      </c>
      <c r="B92" s="22">
        <v>0</v>
      </c>
      <c r="C92" s="22">
        <v>146774</v>
      </c>
      <c r="D92" s="22">
        <v>0</v>
      </c>
      <c r="E92" s="22">
        <v>19788</v>
      </c>
      <c r="F92" s="22">
        <f t="shared" si="4"/>
        <v>166562</v>
      </c>
      <c r="G92" s="22"/>
      <c r="H92" s="9">
        <f>2.8+284821+22.3-0.1+233791.2+164715+47503.2+398878.6+280694.3+49794.5+47496.1+163841.4</f>
        <v>1671560.3</v>
      </c>
      <c r="I92" s="9">
        <f t="shared" si="6"/>
        <v>18875388.100000001</v>
      </c>
      <c r="J92" s="24"/>
      <c r="L92" s="23"/>
    </row>
    <row r="93" spans="1:12" hidden="1" x14ac:dyDescent="0.2">
      <c r="A93" s="21">
        <v>41609</v>
      </c>
      <c r="B93" s="22">
        <v>0</v>
      </c>
      <c r="C93" s="22">
        <v>144512</v>
      </c>
      <c r="D93" s="22">
        <v>0</v>
      </c>
      <c r="E93" s="22">
        <v>19528</v>
      </c>
      <c r="F93" s="22">
        <f t="shared" si="4"/>
        <v>164040</v>
      </c>
      <c r="G93" s="22"/>
      <c r="H93" s="9">
        <f>482751.1+255-96+285856.2+94742.8+670383.7+477235.6+96831.1+95543.1-2.9+287496.3</f>
        <v>2490996</v>
      </c>
      <c r="I93" s="9">
        <f t="shared" si="6"/>
        <v>18598669.700000003</v>
      </c>
      <c r="J93" s="24"/>
      <c r="L93" s="23"/>
    </row>
    <row r="94" spans="1:12" hidden="1" x14ac:dyDescent="0.2">
      <c r="A94" s="21">
        <v>41640</v>
      </c>
      <c r="B94" s="22">
        <v>0</v>
      </c>
      <c r="C94" s="22">
        <v>144605</v>
      </c>
      <c r="D94" s="22">
        <v>0</v>
      </c>
      <c r="E94" s="22">
        <v>20150</v>
      </c>
      <c r="F94" s="22">
        <f t="shared" si="4"/>
        <v>164755</v>
      </c>
      <c r="G94" s="22"/>
      <c r="H94" s="9">
        <f>656223.7+46.5-40.3-1.1+397660.5+146105.6+907297.1+652219.6+141581.7+147415.3-37.8+399633.4</f>
        <v>3448104.2</v>
      </c>
      <c r="I94" s="9">
        <f t="shared" si="6"/>
        <v>18116128.900000002</v>
      </c>
      <c r="J94" s="24"/>
      <c r="L94" s="23"/>
    </row>
    <row r="95" spans="1:12" hidden="1" x14ac:dyDescent="0.2">
      <c r="A95" s="21">
        <v>41671</v>
      </c>
      <c r="B95" s="22">
        <v>0</v>
      </c>
      <c r="C95" s="22">
        <v>156448</v>
      </c>
      <c r="D95" s="22">
        <v>0</v>
      </c>
      <c r="E95" s="22">
        <v>21156</v>
      </c>
      <c r="F95" s="22">
        <f t="shared" si="4"/>
        <v>177604</v>
      </c>
      <c r="G95" s="22"/>
      <c r="H95" s="9">
        <f>684577.9-6.7+0.2-112.3+428249.5+178740+929131.9+663956.4+176095.3+181945.9+430253.9</f>
        <v>3672831.9999999995</v>
      </c>
      <c r="I95" s="9">
        <f>SUM(H84:H95)</f>
        <v>17576018.899999999</v>
      </c>
      <c r="J95" s="24"/>
      <c r="L95" s="23"/>
    </row>
    <row r="96" spans="1:12" hidden="1" x14ac:dyDescent="0.2">
      <c r="A96" s="21">
        <v>41699</v>
      </c>
      <c r="B96" s="22">
        <v>0</v>
      </c>
      <c r="C96" s="22">
        <v>163659</v>
      </c>
      <c r="D96" s="22">
        <v>0</v>
      </c>
      <c r="E96" s="22">
        <v>21809</v>
      </c>
      <c r="F96" s="22">
        <f t="shared" si="4"/>
        <v>185468</v>
      </c>
      <c r="G96" s="22"/>
      <c r="H96" s="9">
        <f>5231.9+537189.5-129.6-71.1+342784.2+154547.4+717577.2+534901.2-2.8+156205.5+159262.8-0.3-12.5+343396.1</f>
        <v>2950879.5000000005</v>
      </c>
      <c r="I96" s="9">
        <f t="shared" si="6"/>
        <v>18799733.899999999</v>
      </c>
      <c r="J96" s="24"/>
      <c r="L96" s="23"/>
    </row>
    <row r="97" spans="1:12" hidden="1" x14ac:dyDescent="0.2">
      <c r="A97" s="21">
        <v>41730</v>
      </c>
      <c r="B97" s="22">
        <v>0</v>
      </c>
      <c r="C97" s="22">
        <v>159095</v>
      </c>
      <c r="D97" s="22">
        <v>0</v>
      </c>
      <c r="E97" s="22">
        <v>21540</v>
      </c>
      <c r="F97" s="22">
        <f t="shared" si="4"/>
        <v>180635</v>
      </c>
      <c r="G97" s="22"/>
      <c r="H97" s="9">
        <f>456872.1+392377.3-74.6-17.9+58837.4+179675.1+119883.9+547334.3+28110.4+27669.2+59525.7</f>
        <v>1870192.8999999997</v>
      </c>
      <c r="I97" s="9">
        <f t="shared" si="6"/>
        <v>18575307.5</v>
      </c>
      <c r="J97" s="24"/>
      <c r="L97" s="23"/>
    </row>
    <row r="98" spans="1:12" hidden="1" x14ac:dyDescent="0.2">
      <c r="A98" s="21">
        <v>41760</v>
      </c>
      <c r="B98" s="22">
        <v>0</v>
      </c>
      <c r="C98" s="22">
        <v>191875</v>
      </c>
      <c r="D98" s="22">
        <v>0</v>
      </c>
      <c r="E98" s="22">
        <v>22608</v>
      </c>
      <c r="F98" s="22">
        <f t="shared" si="4"/>
        <v>214483</v>
      </c>
      <c r="G98" s="22"/>
      <c r="H98" s="9">
        <f>253852.9+47.1+169815.6-54.4-17.3-80.7+84151.8-215.6+253418.7-204.2-0.1-83.2+187.7</f>
        <v>760818.3</v>
      </c>
      <c r="I98" s="9">
        <f t="shared" si="6"/>
        <v>18631269.199999999</v>
      </c>
      <c r="J98" s="24"/>
      <c r="L98" s="23"/>
    </row>
    <row r="99" spans="1:12" hidden="1" x14ac:dyDescent="0.2">
      <c r="A99" s="21">
        <v>41791</v>
      </c>
      <c r="B99" s="22">
        <v>0</v>
      </c>
      <c r="C99" s="22">
        <v>188086</v>
      </c>
      <c r="D99" s="22">
        <v>0</v>
      </c>
      <c r="E99" s="22">
        <v>23262</v>
      </c>
      <c r="F99" s="22">
        <f t="shared" si="4"/>
        <v>211348</v>
      </c>
      <c r="G99" s="22"/>
      <c r="H99" s="9">
        <f>111286.6+1901.8+73995.2-41.3-3.4+1716.1+38051.3+33.2+109734.4+32.3+1674.7+11.6</f>
        <v>338392.5</v>
      </c>
      <c r="I99" s="9">
        <f t="shared" si="6"/>
        <v>18558133.600000001</v>
      </c>
      <c r="J99" s="24"/>
      <c r="L99" s="23"/>
    </row>
    <row r="100" spans="1:12" hidden="1" x14ac:dyDescent="0.2">
      <c r="A100" s="21">
        <v>41821</v>
      </c>
      <c r="B100" s="22">
        <v>0</v>
      </c>
      <c r="C100" s="22">
        <v>163759</v>
      </c>
      <c r="D100" s="22">
        <v>0</v>
      </c>
      <c r="E100" s="22">
        <v>22024</v>
      </c>
      <c r="F100" s="22">
        <f t="shared" si="4"/>
        <v>185783</v>
      </c>
      <c r="G100" s="22"/>
      <c r="H100" s="9">
        <f>80679.3+5684.7+59488.4-4.5+5354.4+31366.4-56.2+82253.2+5506.5+6140.6-3</f>
        <v>276409.79999999993</v>
      </c>
      <c r="I100" s="9">
        <f t="shared" si="6"/>
        <v>18551488.800000001</v>
      </c>
      <c r="J100" s="24"/>
      <c r="L100" s="23"/>
    </row>
    <row r="101" spans="1:12" hidden="1" x14ac:dyDescent="0.2">
      <c r="A101" s="21">
        <v>41852</v>
      </c>
      <c r="B101" s="22">
        <v>0</v>
      </c>
      <c r="C101" s="22">
        <v>164419</v>
      </c>
      <c r="D101" s="22">
        <v>0</v>
      </c>
      <c r="E101" s="22">
        <v>21284</v>
      </c>
      <c r="F101" s="22">
        <f t="shared" si="4"/>
        <v>185703</v>
      </c>
      <c r="G101" s="22"/>
      <c r="H101" s="9">
        <f>75592.9+7366.8+53156.3-0.7-101.1+7330.9+30550.3-82.3+76013.7+7163.2+6976.1-11.6</f>
        <v>263954.5</v>
      </c>
      <c r="I101" s="9">
        <f>SUM(H90:H101)</f>
        <v>18554989</v>
      </c>
      <c r="J101" s="24"/>
      <c r="L101" s="23"/>
    </row>
    <row r="102" spans="1:12" hidden="1" x14ac:dyDescent="0.2">
      <c r="A102" s="21">
        <v>41883</v>
      </c>
      <c r="B102" s="22">
        <v>0</v>
      </c>
      <c r="C102" s="22">
        <v>166174</v>
      </c>
      <c r="D102" s="22">
        <v>0</v>
      </c>
      <c r="E102" s="22">
        <v>21197</v>
      </c>
      <c r="F102" s="22">
        <f t="shared" si="4"/>
        <v>187371</v>
      </c>
      <c r="G102" s="22"/>
      <c r="H102" s="9">
        <f>84169.4+9282.6+59937.9-0.1-31.4+8908.5+33960.4-19.8+85596.1+8490.2+8808-79.2</f>
        <v>299022.59999999998</v>
      </c>
      <c r="I102" s="9">
        <f t="shared" si="6"/>
        <v>18561030.800000001</v>
      </c>
      <c r="J102" s="24"/>
      <c r="L102" s="23"/>
    </row>
    <row r="103" spans="1:12" hidden="1" x14ac:dyDescent="0.2">
      <c r="A103" s="21">
        <v>41913</v>
      </c>
      <c r="B103" s="22">
        <v>0</v>
      </c>
      <c r="C103" s="22">
        <v>159829</v>
      </c>
      <c r="D103" s="22">
        <v>0</v>
      </c>
      <c r="E103" s="22">
        <v>21093</v>
      </c>
      <c r="F103" s="22">
        <f t="shared" si="4"/>
        <v>180922</v>
      </c>
      <c r="G103" s="22"/>
      <c r="H103" s="9">
        <f>163977.9+22089.8+116888.8-29.3+21525.2+69180.2+10.3+164600.4+21822.1+21400.8-135-0.4</f>
        <v>601330.80000000005</v>
      </c>
      <c r="I103" s="9">
        <f t="shared" si="6"/>
        <v>18644493.400000002</v>
      </c>
      <c r="J103" s="24"/>
      <c r="L103" s="23"/>
    </row>
    <row r="104" spans="1:12" hidden="1" x14ac:dyDescent="0.2">
      <c r="A104" s="21">
        <v>41944</v>
      </c>
      <c r="B104" s="22">
        <v>0</v>
      </c>
      <c r="C104" s="22">
        <v>166663</v>
      </c>
      <c r="D104" s="22">
        <v>0</v>
      </c>
      <c r="E104" s="22">
        <v>21288</v>
      </c>
      <c r="F104" s="22">
        <f t="shared" si="4"/>
        <v>187951</v>
      </c>
      <c r="G104" s="22"/>
      <c r="H104" s="9">
        <f>370620.5+50517+264850.6+-31.8+50418.1+164177.2+-47.6+369423.5+50622.3+50113.5+-17.9</f>
        <v>1370645.4000000001</v>
      </c>
      <c r="I104" s="9">
        <f t="shared" si="6"/>
        <v>18343578.5</v>
      </c>
      <c r="J104" s="24"/>
      <c r="L104" s="23"/>
    </row>
    <row r="105" spans="1:12" hidden="1" x14ac:dyDescent="0.2">
      <c r="A105" s="21">
        <v>41974</v>
      </c>
      <c r="B105" s="22">
        <v>0</v>
      </c>
      <c r="C105" s="22">
        <v>149829</v>
      </c>
      <c r="D105" s="22">
        <v>0</v>
      </c>
      <c r="E105" s="22">
        <v>21544</v>
      </c>
      <c r="F105" s="22">
        <f t="shared" si="4"/>
        <v>171373</v>
      </c>
      <c r="G105" s="22"/>
      <c r="H105" s="9">
        <f>580469.3+81537.2+416784.3+-14.7-0.1+79131.9+250962.5+579648.8+81027.4+81960.4+-198.4</f>
        <v>2151308.6</v>
      </c>
      <c r="I105" s="9">
        <f t="shared" si="6"/>
        <v>18003891.100000001</v>
      </c>
      <c r="J105" s="24"/>
      <c r="L105" s="23"/>
    </row>
    <row r="106" spans="1:12" hidden="1" x14ac:dyDescent="0.2">
      <c r="A106" s="21">
        <v>42005</v>
      </c>
      <c r="B106" s="22">
        <v>0</v>
      </c>
      <c r="C106" s="22">
        <v>141761</v>
      </c>
      <c r="D106" s="22">
        <v>0</v>
      </c>
      <c r="E106" s="22">
        <v>22251</v>
      </c>
      <c r="F106" s="22">
        <f t="shared" ref="F106:F169" si="7">SUM(B106:E106)</f>
        <v>164012</v>
      </c>
      <c r="G106" s="22"/>
      <c r="H106" s="9">
        <f>793591.6+141200.3+582851.6+-58.8-0.9+139328.4+357907.8+-14.8+793995.5+142488.5+143192.6-24.2+19.1</f>
        <v>3094476.7</v>
      </c>
      <c r="I106" s="9">
        <f t="shared" si="6"/>
        <v>17650263.600000001</v>
      </c>
      <c r="J106" s="24"/>
      <c r="L106" s="23"/>
    </row>
    <row r="107" spans="1:12" hidden="1" x14ac:dyDescent="0.2">
      <c r="A107" s="21">
        <v>42036</v>
      </c>
      <c r="B107" s="22">
        <v>0</v>
      </c>
      <c r="C107" s="22">
        <v>149829</v>
      </c>
      <c r="D107" s="22">
        <v>0</v>
      </c>
      <c r="E107" s="22">
        <v>21544</v>
      </c>
      <c r="F107" s="22">
        <f t="shared" si="7"/>
        <v>171373</v>
      </c>
      <c r="G107" s="22"/>
      <c r="H107" s="9">
        <f>844908.6+161994+623248.5+-131.8+159537.3+391123.6+-16.9+847540.7+161808.3+164337.1+-10.3</f>
        <v>3354339.1</v>
      </c>
      <c r="I107" s="9">
        <f t="shared" si="6"/>
        <v>17331770.699999999</v>
      </c>
      <c r="J107" s="24"/>
      <c r="L107" s="23"/>
    </row>
    <row r="108" spans="1:12" hidden="1" x14ac:dyDescent="0.2">
      <c r="A108" s="21">
        <v>42064</v>
      </c>
      <c r="B108" s="22">
        <v>0</v>
      </c>
      <c r="C108" s="22">
        <v>153602</v>
      </c>
      <c r="D108" s="22">
        <v>0</v>
      </c>
      <c r="E108" s="22">
        <v>22263</v>
      </c>
      <c r="F108" s="22">
        <f t="shared" si="7"/>
        <v>175865</v>
      </c>
      <c r="H108" s="9">
        <f>676732.4+145177.9+504481.2-1.7+142956.3+323619.1+-27.8+679950.8+143539.4-96.8+145242.8+-9.8</f>
        <v>2761563.8000000003</v>
      </c>
      <c r="I108" s="9">
        <f t="shared" si="6"/>
        <v>17142455</v>
      </c>
      <c r="J108" s="24"/>
    </row>
    <row r="109" spans="1:12" hidden="1" x14ac:dyDescent="0.2">
      <c r="A109" s="21">
        <v>42095</v>
      </c>
      <c r="B109" s="22">
        <v>0</v>
      </c>
      <c r="C109" s="22">
        <v>155852</v>
      </c>
      <c r="D109" s="22">
        <v>0</v>
      </c>
      <c r="E109" s="22">
        <v>22592.000000000004</v>
      </c>
      <c r="F109" s="22">
        <f t="shared" si="7"/>
        <v>178444</v>
      </c>
      <c r="H109" s="9">
        <f>398515.3+24536.9+274037.3+-14+-4.9+123654.3+247547.7+-74.9+398153.3+-84.5+21985.9+23267</f>
        <v>1511519.4000000001</v>
      </c>
      <c r="I109" s="9">
        <f>SUM(H98:H109)</f>
        <v>16783781.5</v>
      </c>
      <c r="J109" s="24"/>
      <c r="K109" s="23">
        <f t="shared" ref="K109:K138" si="8">AVERAGE(F98:F109)</f>
        <v>184552.33333333334</v>
      </c>
    </row>
    <row r="110" spans="1:12" hidden="1" x14ac:dyDescent="0.2">
      <c r="A110" s="21">
        <v>42125</v>
      </c>
      <c r="B110" s="22">
        <v>0</v>
      </c>
      <c r="C110" s="22">
        <v>164768</v>
      </c>
      <c r="D110" s="22">
        <v>0</v>
      </c>
      <c r="E110" s="22">
        <v>23158</v>
      </c>
      <c r="F110" s="22">
        <f t="shared" si="7"/>
        <v>187926</v>
      </c>
      <c r="H110" s="9">
        <f>179494.6+-692.3+119533.2+-16.9+59721.7+66.4+121004.8+16.2+181318.6+-89+-36.1-871.6+38.3</f>
        <v>659487.90000000014</v>
      </c>
      <c r="I110" s="9">
        <f t="shared" si="6"/>
        <v>16682451.100000001</v>
      </c>
      <c r="J110" s="24"/>
      <c r="K110" s="23">
        <f t="shared" si="8"/>
        <v>182339.25</v>
      </c>
    </row>
    <row r="111" spans="1:12" hidden="1" x14ac:dyDescent="0.2">
      <c r="A111" s="21">
        <v>42156</v>
      </c>
      <c r="B111" s="22">
        <v>0</v>
      </c>
      <c r="C111" s="22">
        <v>157386</v>
      </c>
      <c r="D111" s="22">
        <v>0</v>
      </c>
      <c r="E111" s="22">
        <v>23303</v>
      </c>
      <c r="F111" s="22">
        <f t="shared" si="7"/>
        <v>180689</v>
      </c>
      <c r="H111" s="9">
        <f>87693.2+1756.1+59335.9+30153.1+1668.7+59379.7+88986.5+1399.7+-136.5+-61.4</f>
        <v>330175</v>
      </c>
      <c r="I111" s="9">
        <f t="shared" si="6"/>
        <v>16674233.600000001</v>
      </c>
      <c r="J111" s="24"/>
      <c r="K111" s="23">
        <f t="shared" si="8"/>
        <v>179784.33333333334</v>
      </c>
    </row>
    <row r="112" spans="1:12" hidden="1" x14ac:dyDescent="0.2">
      <c r="A112" s="21">
        <v>42186</v>
      </c>
      <c r="B112" s="22">
        <v>0</v>
      </c>
      <c r="C112" s="22">
        <v>150966</v>
      </c>
      <c r="D112" s="22">
        <v>0</v>
      </c>
      <c r="E112" s="22">
        <v>22574</v>
      </c>
      <c r="F112" s="22">
        <f t="shared" si="7"/>
        <v>173540</v>
      </c>
      <c r="H112" s="9">
        <f>66110.7+3532.5+45708.2+-16.1+-32.8+24389+3445.7+45787.7+67177.7+3529.9+-282.7+3453.1</f>
        <v>262802.90000000002</v>
      </c>
      <c r="I112" s="9">
        <f t="shared" si="6"/>
        <v>16660626.700000003</v>
      </c>
      <c r="J112" s="24"/>
      <c r="K112" s="23">
        <f t="shared" si="8"/>
        <v>178764.08333333334</v>
      </c>
    </row>
    <row r="113" spans="1:12" hidden="1" x14ac:dyDescent="0.2">
      <c r="A113" s="21">
        <v>42217</v>
      </c>
      <c r="B113" s="22">
        <v>0</v>
      </c>
      <c r="C113" s="22">
        <v>154035</v>
      </c>
      <c r="D113" s="22">
        <v>0</v>
      </c>
      <c r="E113" s="22">
        <v>22354</v>
      </c>
      <c r="F113" s="22">
        <f t="shared" si="7"/>
        <v>176389</v>
      </c>
      <c r="H113" s="9">
        <f>57160.5+3848.1+39830+21424.9+3893.9+39487.2+-189.1+57684.7+3462.9+-179.7+-17.1+-63.2+3979.9</f>
        <v>230322.99999999991</v>
      </c>
      <c r="I113" s="9">
        <f t="shared" si="6"/>
        <v>16626995.200000003</v>
      </c>
      <c r="J113" s="24"/>
      <c r="K113" s="23">
        <f t="shared" si="8"/>
        <v>177987.91666666666</v>
      </c>
    </row>
    <row r="114" spans="1:12" hidden="1" x14ac:dyDescent="0.2">
      <c r="A114" s="21">
        <v>42248</v>
      </c>
      <c r="B114" s="22">
        <v>0</v>
      </c>
      <c r="C114" s="22">
        <v>153220</v>
      </c>
      <c r="D114" s="22">
        <v>0</v>
      </c>
      <c r="E114" s="22">
        <v>22282</v>
      </c>
      <c r="F114" s="22">
        <f t="shared" si="7"/>
        <v>175502</v>
      </c>
      <c r="H114" s="9">
        <f>63003.8+5870.6+44190.7+-42.3+-1.1+-1.3+24452.8+5989.4+44179.7+-89.7+63449.1+-39.7+5882.3+-54.7+-0.6</f>
        <v>256788.99999999994</v>
      </c>
      <c r="I114" s="9">
        <f t="shared" si="6"/>
        <v>16584761.600000001</v>
      </c>
      <c r="J114" s="24"/>
      <c r="K114" s="23">
        <f t="shared" si="8"/>
        <v>176998.83333333334</v>
      </c>
      <c r="L114" s="9"/>
    </row>
    <row r="115" spans="1:12" hidden="1" x14ac:dyDescent="0.2">
      <c r="A115" s="21">
        <v>42278</v>
      </c>
      <c r="B115" s="22">
        <v>0</v>
      </c>
      <c r="C115" s="22">
        <v>158663</v>
      </c>
      <c r="D115" s="22">
        <v>0</v>
      </c>
      <c r="E115" s="22">
        <v>22238</v>
      </c>
      <c r="F115" s="22">
        <f t="shared" si="7"/>
        <v>180901</v>
      </c>
      <c r="H115" s="9">
        <f>117398.7+13462.3+82912.2+-9.5+47762.4+13530.1+82339.4-20.9+117487.1+13803.8+-22.6+13644.9</f>
        <v>502287.89999999997</v>
      </c>
      <c r="I115" s="9">
        <f t="shared" ref="I115:I127" si="9">SUM(H104:H115)</f>
        <v>16485718.700000003</v>
      </c>
      <c r="J115" s="24"/>
      <c r="K115" s="23">
        <f t="shared" si="8"/>
        <v>176997.08333333334</v>
      </c>
      <c r="L115" s="9"/>
    </row>
    <row r="116" spans="1:12" hidden="1" x14ac:dyDescent="0.2">
      <c r="A116" s="21">
        <v>42309</v>
      </c>
      <c r="B116" s="22">
        <v>0</v>
      </c>
      <c r="C116" s="22">
        <v>157312</v>
      </c>
      <c r="D116" s="22">
        <v>0</v>
      </c>
      <c r="E116" s="22">
        <v>22266</v>
      </c>
      <c r="F116" s="22">
        <f t="shared" si="7"/>
        <v>179578</v>
      </c>
      <c r="H116" s="9">
        <f>229768.7+31867.4+162785.6-58.2+96845.4+31851.9+165690+-6.8+229877.1+31763.9-3.5-26.4-102+1.1+32243.5</f>
        <v>1012497.7</v>
      </c>
      <c r="I116" s="9">
        <f t="shared" si="9"/>
        <v>16127571.000000002</v>
      </c>
      <c r="J116" s="24"/>
      <c r="K116" s="23">
        <f t="shared" si="8"/>
        <v>176299.33333333334</v>
      </c>
      <c r="L116" s="9"/>
    </row>
    <row r="117" spans="1:12" hidden="1" x14ac:dyDescent="0.2">
      <c r="A117" s="21">
        <v>42339</v>
      </c>
      <c r="B117" s="22">
        <v>0</v>
      </c>
      <c r="C117" s="22">
        <v>159389</v>
      </c>
      <c r="D117" s="22">
        <v>0</v>
      </c>
      <c r="E117" s="22">
        <v>21158</v>
      </c>
      <c r="F117" s="22">
        <f t="shared" si="7"/>
        <v>180547</v>
      </c>
      <c r="H117" s="9">
        <f>391882.2+58594.4+276546.1+168393+57302.5+280433.5-60.8+390224.8+57661.3+58387.3</f>
        <v>1739364.3</v>
      </c>
      <c r="I117" s="9">
        <f t="shared" si="9"/>
        <v>15715626.700000003</v>
      </c>
      <c r="J117" s="24"/>
      <c r="K117" s="23">
        <f t="shared" si="8"/>
        <v>177063.83333333334</v>
      </c>
      <c r="L117" s="9"/>
    </row>
    <row r="118" spans="1:12" hidden="1" x14ac:dyDescent="0.2">
      <c r="A118" s="21">
        <v>42370</v>
      </c>
      <c r="B118" s="22">
        <v>0</v>
      </c>
      <c r="C118" s="22">
        <v>155302</v>
      </c>
      <c r="D118" s="22">
        <v>0</v>
      </c>
      <c r="E118" s="22">
        <v>21486</v>
      </c>
      <c r="F118" s="22">
        <f t="shared" si="7"/>
        <v>176788</v>
      </c>
      <c r="H118" s="9">
        <f>615839+105307.9+437780.9-26.4-17.3+271598.6+103799.7+443917.7-121.5+613110+104516.6-148.6+105028.6</f>
        <v>2800585.2</v>
      </c>
      <c r="I118" s="9">
        <f t="shared" si="9"/>
        <v>15421735.200000003</v>
      </c>
      <c r="J118" s="24"/>
      <c r="K118" s="23">
        <f t="shared" si="8"/>
        <v>178128.5</v>
      </c>
      <c r="L118" s="9"/>
    </row>
    <row r="119" spans="1:12" hidden="1" x14ac:dyDescent="0.2">
      <c r="A119" s="21">
        <v>42401</v>
      </c>
      <c r="B119" s="22">
        <v>0</v>
      </c>
      <c r="C119" s="22">
        <v>159558</v>
      </c>
      <c r="D119" s="22">
        <v>0</v>
      </c>
      <c r="E119" s="22">
        <v>22250</v>
      </c>
      <c r="F119" s="22">
        <f t="shared" si="7"/>
        <v>181808</v>
      </c>
      <c r="H119" s="9">
        <f>614227.8+128690.9+447204+-112.2-15.9+286287.6+126249+451887.6+613437.6+127165.8-41.8+128826.8</f>
        <v>2923807.2</v>
      </c>
      <c r="I119" s="9">
        <f t="shared" si="9"/>
        <v>14991203.300000001</v>
      </c>
      <c r="J119" s="24"/>
      <c r="K119" s="23">
        <f t="shared" si="8"/>
        <v>178998.08333333334</v>
      </c>
      <c r="L119" s="9"/>
    </row>
    <row r="120" spans="1:12" hidden="1" x14ac:dyDescent="0.2">
      <c r="A120" s="21">
        <v>42430</v>
      </c>
      <c r="B120" s="22">
        <v>0</v>
      </c>
      <c r="C120" s="22">
        <v>174180</v>
      </c>
      <c r="D120" s="22">
        <v>0</v>
      </c>
      <c r="E120" s="22">
        <v>23007</v>
      </c>
      <c r="F120" s="22">
        <f t="shared" si="7"/>
        <v>197187</v>
      </c>
      <c r="H120" s="9">
        <f>432498.2+102487.4+319862.6+208765+100418.8+319594.1+428659.6+104252.4+2516.8+102373.6</f>
        <v>2121428.5</v>
      </c>
      <c r="I120" s="9">
        <f t="shared" si="9"/>
        <v>14351068</v>
      </c>
      <c r="J120" s="24"/>
      <c r="K120" s="23">
        <f t="shared" si="8"/>
        <v>180774.91666666666</v>
      </c>
      <c r="L120" s="9"/>
    </row>
    <row r="121" spans="1:12" hidden="1" x14ac:dyDescent="0.2">
      <c r="A121" s="21">
        <v>42461</v>
      </c>
      <c r="B121" s="22">
        <v>0</v>
      </c>
      <c r="C121" s="22">
        <v>183261</v>
      </c>
      <c r="D121" s="22">
        <v>0</v>
      </c>
      <c r="E121" s="22">
        <v>23305</v>
      </c>
      <c r="F121" s="22">
        <f t="shared" si="7"/>
        <v>206566</v>
      </c>
      <c r="H121" s="9">
        <f>446987.9+22502.2+318104.4+43248.4+22032.5+65165.8+87747+12.6+400183.9+379355.6+6.8+22901.1</f>
        <v>1808248.2000000004</v>
      </c>
      <c r="I121" s="9">
        <f t="shared" si="9"/>
        <v>14647796.800000003</v>
      </c>
      <c r="J121" s="24"/>
      <c r="K121" s="23">
        <f t="shared" si="8"/>
        <v>183118.41666666666</v>
      </c>
      <c r="L121" s="9"/>
    </row>
    <row r="122" spans="1:12" hidden="1" x14ac:dyDescent="0.2">
      <c r="A122" s="21">
        <v>42491</v>
      </c>
      <c r="B122" s="22">
        <v>0</v>
      </c>
      <c r="C122" s="22">
        <v>201940</v>
      </c>
      <c r="D122" s="22">
        <v>0</v>
      </c>
      <c r="E122" s="22">
        <v>24784</v>
      </c>
      <c r="F122" s="22">
        <f t="shared" si="7"/>
        <v>226724</v>
      </c>
      <c r="H122" s="9">
        <f>228434.6+5.4+152143.4-53.2-80.9-115.1-71-12.9-166.9+32.4+227745+226509.8-0.6-4.5-121.4</f>
        <v>834244.10000000009</v>
      </c>
      <c r="I122" s="9">
        <f t="shared" si="9"/>
        <v>14822553</v>
      </c>
      <c r="J122" s="24"/>
      <c r="K122" s="23">
        <f t="shared" si="8"/>
        <v>186351.58333333334</v>
      </c>
      <c r="L122" s="9"/>
    </row>
    <row r="123" spans="1:12" hidden="1" x14ac:dyDescent="0.2">
      <c r="A123" s="21">
        <v>42522</v>
      </c>
      <c r="B123" s="22">
        <v>0</v>
      </c>
      <c r="C123" s="22">
        <v>181347</v>
      </c>
      <c r="D123" s="22">
        <v>0</v>
      </c>
      <c r="E123" s="22">
        <v>24568</v>
      </c>
      <c r="F123" s="22">
        <f t="shared" si="7"/>
        <v>205915</v>
      </c>
      <c r="H123" s="9">
        <f>1385.3+68488.6+1285+1295+1285.5+-209.6+1246.5+100334+-29.7+100271.7+1260.2+-120.9+1205.1</f>
        <v>277696.69999999995</v>
      </c>
      <c r="I123" s="9">
        <f t="shared" si="9"/>
        <v>14770074.699999999</v>
      </c>
      <c r="J123" s="24"/>
      <c r="K123" s="23">
        <f t="shared" si="8"/>
        <v>188453.75</v>
      </c>
      <c r="L123" s="9"/>
    </row>
    <row r="124" spans="1:12" hidden="1" x14ac:dyDescent="0.2">
      <c r="A124" s="21">
        <v>42552</v>
      </c>
      <c r="B124" s="22">
        <v>0</v>
      </c>
      <c r="C124" s="22">
        <v>176197</v>
      </c>
      <c r="D124" s="22">
        <v>0</v>
      </c>
      <c r="E124" s="22">
        <v>23801</v>
      </c>
      <c r="F124" s="22">
        <f t="shared" si="7"/>
        <v>199998</v>
      </c>
      <c r="H124" s="9">
        <f>68573.7+3019.6+47624.3+2498.8+3057.6+2979.1+0+-3+2932.7+69025.3+69326.3+2952.6+2765.6</f>
        <v>274752.59999999998</v>
      </c>
      <c r="I124" s="9">
        <f t="shared" si="9"/>
        <v>14782024.4</v>
      </c>
      <c r="J124" s="24"/>
      <c r="K124" s="23">
        <f t="shared" si="8"/>
        <v>190658.58333333334</v>
      </c>
      <c r="L124" s="9"/>
    </row>
    <row r="125" spans="1:12" hidden="1" x14ac:dyDescent="0.2">
      <c r="A125" s="21">
        <v>42583</v>
      </c>
      <c r="B125" s="22">
        <v>0</v>
      </c>
      <c r="C125" s="22">
        <v>178410</v>
      </c>
      <c r="D125" s="22">
        <v>0</v>
      </c>
      <c r="E125" s="22">
        <v>23821</v>
      </c>
      <c r="F125" s="22">
        <f t="shared" si="7"/>
        <v>202231</v>
      </c>
      <c r="H125" s="9">
        <f>57640.4+3218.9+40197.9+-40.1+3100.6+3248+3150.4+-107.3+-29.1+3208.3+57749.4+57814.3+3296.6+3186.6</f>
        <v>235634.90000000002</v>
      </c>
      <c r="I125" s="9">
        <f t="shared" si="9"/>
        <v>14787336.300000001</v>
      </c>
      <c r="J125" s="24"/>
      <c r="K125" s="23">
        <f t="shared" si="8"/>
        <v>192812.08333333334</v>
      </c>
      <c r="L125" s="9"/>
    </row>
    <row r="126" spans="1:12" hidden="1" x14ac:dyDescent="0.2">
      <c r="A126" s="21">
        <v>42614</v>
      </c>
      <c r="B126" s="22">
        <v>0</v>
      </c>
      <c r="C126" s="22">
        <v>168842</v>
      </c>
      <c r="D126" s="22">
        <v>0</v>
      </c>
      <c r="E126" s="22">
        <v>23784</v>
      </c>
      <c r="F126" s="22">
        <f t="shared" si="7"/>
        <v>192626</v>
      </c>
      <c r="H126" s="9">
        <f>62648.9+5002.9+44233.5+4654.4+4895.4+4850.6+0+-50.4+4838.2+62471+63004.1+4871.2+4863</f>
        <v>266282.80000000005</v>
      </c>
      <c r="I126" s="9">
        <f t="shared" si="9"/>
        <v>14796830.100000001</v>
      </c>
      <c r="J126" s="24"/>
      <c r="K126" s="23">
        <f t="shared" si="8"/>
        <v>194239.08333333334</v>
      </c>
      <c r="L126" s="9"/>
    </row>
    <row r="127" spans="1:12" hidden="1" x14ac:dyDescent="0.2">
      <c r="A127" s="21">
        <v>42644</v>
      </c>
      <c r="B127" s="22">
        <v>0</v>
      </c>
      <c r="C127" s="22">
        <v>171661</v>
      </c>
      <c r="D127" s="22">
        <v>0</v>
      </c>
      <c r="E127" s="22">
        <v>23744</v>
      </c>
      <c r="F127" s="22">
        <f t="shared" si="7"/>
        <v>195405</v>
      </c>
      <c r="H127" s="9">
        <f>100538.9+8743.4+70364.5-4.5+8564.8+8348.7+8303.1+-65.7+-110.4+8369.6+99680.6+99930.9+8771.6+8669.6</f>
        <v>430105.1</v>
      </c>
      <c r="I127" s="9">
        <f t="shared" si="9"/>
        <v>14724647.300000001</v>
      </c>
      <c r="J127" s="24"/>
      <c r="K127" s="23">
        <f t="shared" si="8"/>
        <v>195447.75</v>
      </c>
      <c r="L127" s="9"/>
    </row>
    <row r="128" spans="1:12" hidden="1" x14ac:dyDescent="0.2">
      <c r="A128" s="21">
        <v>42675</v>
      </c>
      <c r="B128" s="22">
        <v>0</v>
      </c>
      <c r="C128" s="22">
        <v>168288</v>
      </c>
      <c r="D128" s="22">
        <v>0</v>
      </c>
      <c r="E128" s="22">
        <v>23837</v>
      </c>
      <c r="F128" s="22">
        <f t="shared" si="7"/>
        <v>192125</v>
      </c>
      <c r="H128" s="9">
        <f>250707.8+27277.1+176821.1+0+26676.3+25798.8+25939.5+-93.6+-293+25730.7+250535.1+250814.4+26551.6+-53.3+26429.6</f>
        <v>1112842.1000000001</v>
      </c>
      <c r="I128" s="9">
        <f t="shared" ref="I128:I138" si="10">SUM(H117:H128)</f>
        <v>14824991.699999999</v>
      </c>
      <c r="J128" s="24"/>
      <c r="K128" s="23">
        <f t="shared" si="8"/>
        <v>196493.33333333334</v>
      </c>
      <c r="L128" s="9"/>
    </row>
    <row r="129" spans="1:12" hidden="1" x14ac:dyDescent="0.2">
      <c r="A129" s="21">
        <v>42705</v>
      </c>
      <c r="B129" s="22">
        <v>0</v>
      </c>
      <c r="C129" s="22">
        <v>160635</v>
      </c>
      <c r="D129" s="22">
        <v>0</v>
      </c>
      <c r="E129" s="22">
        <v>23036</v>
      </c>
      <c r="F129" s="22">
        <f t="shared" si="7"/>
        <v>183671</v>
      </c>
      <c r="H129" s="9">
        <f>543259.7+63110+386602.9+-4.6+61834.2+61385.9+60680.9+-36.8+-13.4+61214+540989.2+543636+62094.3+62779.1</f>
        <v>2447531.4</v>
      </c>
      <c r="I129" s="9">
        <f>SUM(H118:H129)</f>
        <v>15533158.800000001</v>
      </c>
      <c r="J129" s="24"/>
      <c r="K129" s="23">
        <f t="shared" si="8"/>
        <v>196753.66666666666</v>
      </c>
      <c r="L129" s="9"/>
    </row>
    <row r="130" spans="1:12" hidden="1" x14ac:dyDescent="0.2">
      <c r="A130" s="21">
        <v>42736</v>
      </c>
      <c r="B130" s="22">
        <v>0</v>
      </c>
      <c r="C130" s="22">
        <v>155778</v>
      </c>
      <c r="D130" s="22">
        <v>0</v>
      </c>
      <c r="E130" s="22">
        <v>23310</v>
      </c>
      <c r="F130" s="22">
        <f t="shared" si="7"/>
        <v>179088</v>
      </c>
      <c r="H130" s="9">
        <f>643909.6+94876.2+466677.1+0+57.9+92583.7+93083.9+91814+-204.8+-125.8+-74.3+93620+646102+-29.7+648451.6+94251.5+-30.3+56.4</f>
        <v>2965018.9999999995</v>
      </c>
      <c r="I130" s="9">
        <f t="shared" si="10"/>
        <v>15697592.6</v>
      </c>
      <c r="J130" s="24"/>
      <c r="K130" s="23">
        <f t="shared" si="8"/>
        <v>196945.33333333334</v>
      </c>
      <c r="L130" s="9"/>
    </row>
    <row r="131" spans="1:12" hidden="1" x14ac:dyDescent="0.2">
      <c r="A131" s="21">
        <v>42767</v>
      </c>
      <c r="B131" s="22">
        <v>0</v>
      </c>
      <c r="C131" s="22">
        <v>169204</v>
      </c>
      <c r="D131" s="22">
        <v>0</v>
      </c>
      <c r="E131" s="22">
        <v>23770</v>
      </c>
      <c r="F131" s="22">
        <f t="shared" si="7"/>
        <v>192974</v>
      </c>
      <c r="H131" s="9">
        <f>507582.8+81422+370545.2+-64+11243.7+-4.8+78528.2+78640.1+77849.8+-19.4+78134.3+511127.9+-32.6+511157.9+79567.2+79825.1</f>
        <v>2465503.4000000004</v>
      </c>
      <c r="I131" s="9">
        <f t="shared" si="10"/>
        <v>15239288.800000001</v>
      </c>
      <c r="J131" s="24"/>
      <c r="K131" s="23">
        <f t="shared" si="8"/>
        <v>197875.83333333334</v>
      </c>
      <c r="L131" s="9"/>
    </row>
    <row r="132" spans="1:12" hidden="1" x14ac:dyDescent="0.2">
      <c r="A132" s="21">
        <v>42795</v>
      </c>
      <c r="B132" s="22">
        <v>0</v>
      </c>
      <c r="C132" s="22">
        <v>169529</v>
      </c>
      <c r="D132" s="22">
        <v>0</v>
      </c>
      <c r="E132" s="22">
        <v>24451</v>
      </c>
      <c r="F132" s="22">
        <f t="shared" si="7"/>
        <v>193980</v>
      </c>
      <c r="H132" s="9">
        <f>443049+78560.1+329121.2+25627.1+76684.7+74480.4+75546+-73.9+25.4+76841+446793.8+446272.8+78473.3+1848.9+78474.8</f>
        <v>2231724.5999999996</v>
      </c>
      <c r="I132" s="9">
        <f t="shared" si="10"/>
        <v>15349584.9</v>
      </c>
      <c r="J132" s="24"/>
      <c r="K132" s="23">
        <f t="shared" si="8"/>
        <v>197608.58333333334</v>
      </c>
      <c r="L132" s="9"/>
    </row>
    <row r="133" spans="1:12" hidden="1" x14ac:dyDescent="0.2">
      <c r="A133" s="21">
        <v>42826</v>
      </c>
      <c r="B133" s="22">
        <v>0</v>
      </c>
      <c r="C133" s="22">
        <v>174407</v>
      </c>
      <c r="D133" s="22">
        <v>0</v>
      </c>
      <c r="E133" s="22">
        <v>24398</v>
      </c>
      <c r="F133" s="22">
        <f t="shared" si="7"/>
        <v>198805</v>
      </c>
      <c r="H133" s="9">
        <f>90813.7+16753.8+252329.2+6209.7+17077.6+202260.6+16392.7+-18.6+17009.7+367828.4+92423+17330.7+276516.3+17451.3</f>
        <v>1390378.0999999999</v>
      </c>
      <c r="I133" s="9">
        <f t="shared" si="10"/>
        <v>14931714.799999999</v>
      </c>
      <c r="J133" s="24"/>
      <c r="K133" s="23">
        <f t="shared" si="8"/>
        <v>196961.83333333334</v>
      </c>
      <c r="L133" s="9"/>
    </row>
    <row r="134" spans="1:12" hidden="1" x14ac:dyDescent="0.2">
      <c r="A134" s="21">
        <v>42856</v>
      </c>
      <c r="B134" s="22">
        <v>0</v>
      </c>
      <c r="C134" s="22">
        <v>188739</v>
      </c>
      <c r="D134" s="22">
        <v>0</v>
      </c>
      <c r="E134" s="22">
        <v>25646</v>
      </c>
      <c r="F134" s="22">
        <f t="shared" si="7"/>
        <v>214385</v>
      </c>
      <c r="H134" s="9">
        <f>-56.1-76.1+151387.9+6.9+11.5+-26.9+153038.7+-88.2+-116.6+-34.8+-159.4+226945.8+-78.5+-27.8+228041.5+-82.7</f>
        <v>758685.2</v>
      </c>
      <c r="I134" s="9">
        <f t="shared" si="10"/>
        <v>14856155.899999999</v>
      </c>
      <c r="J134" s="24"/>
      <c r="K134" s="23">
        <f t="shared" si="8"/>
        <v>195933.58333333334</v>
      </c>
      <c r="L134" s="9"/>
    </row>
    <row r="135" spans="1:12" hidden="1" x14ac:dyDescent="0.2">
      <c r="A135" s="21">
        <v>42887</v>
      </c>
      <c r="B135" s="22">
        <v>0</v>
      </c>
      <c r="C135" s="22">
        <v>170711</v>
      </c>
      <c r="D135" s="22">
        <v>0</v>
      </c>
      <c r="E135" s="22">
        <v>25832</v>
      </c>
      <c r="F135" s="22">
        <f t="shared" si="7"/>
        <v>196543</v>
      </c>
      <c r="H135" s="9">
        <f>859.8+975.1+68896.3+1035+1003.8+859+69909.1+999.8+937.5+103932+-22.1+1033+103630.1+984.8</f>
        <v>355033.2</v>
      </c>
      <c r="I135" s="9">
        <f t="shared" si="10"/>
        <v>14933492.399999999</v>
      </c>
      <c r="J135" s="24"/>
      <c r="K135" s="23">
        <f t="shared" si="8"/>
        <v>195152.58333333334</v>
      </c>
      <c r="L135" s="9"/>
    </row>
    <row r="136" spans="1:12" hidden="1" x14ac:dyDescent="0.2">
      <c r="A136" s="21">
        <v>42917</v>
      </c>
      <c r="B136" s="22">
        <v>0</v>
      </c>
      <c r="C136" s="22">
        <v>170966</v>
      </c>
      <c r="D136" s="22">
        <v>0</v>
      </c>
      <c r="E136" s="22">
        <v>25208</v>
      </c>
      <c r="F136" s="22">
        <f t="shared" si="7"/>
        <v>196174</v>
      </c>
      <c r="H136" s="9">
        <f>1839.5+1996.9+50606.6+2030.3+1868.4+1694.4+50684+2043.5+2030.6+74913.6+134.2+1999.9+74708.8+1790.5</f>
        <v>268341.2</v>
      </c>
      <c r="I136" s="9">
        <f t="shared" si="10"/>
        <v>14927080.999999996</v>
      </c>
      <c r="J136" s="24"/>
      <c r="K136" s="23">
        <f t="shared" si="8"/>
        <v>194833.91666666666</v>
      </c>
      <c r="L136" s="9"/>
    </row>
    <row r="137" spans="1:12" hidden="1" x14ac:dyDescent="0.2">
      <c r="A137" s="21">
        <v>42948</v>
      </c>
      <c r="B137" s="22">
        <v>0</v>
      </c>
      <c r="C137" s="22">
        <v>165067</v>
      </c>
      <c r="D137" s="22">
        <v>0</v>
      </c>
      <c r="E137" s="22">
        <v>25077</v>
      </c>
      <c r="F137" s="22">
        <f t="shared" si="7"/>
        <v>190144</v>
      </c>
      <c r="H137" s="9">
        <f>3039.3+3063.7+46573.2+3086.9+3013.3+2931.1+46701.8+3198+-91.7+3179.3+68135.6+-11.7+3114.9+68536.6+-3.4+3094.6</f>
        <v>257561.5</v>
      </c>
      <c r="I137" s="9">
        <f t="shared" si="10"/>
        <v>14949007.599999998</v>
      </c>
      <c r="J137" s="24"/>
      <c r="K137" s="23">
        <f t="shared" si="8"/>
        <v>193826.66666666666</v>
      </c>
      <c r="L137" s="9"/>
    </row>
    <row r="138" spans="1:12" hidden="1" x14ac:dyDescent="0.2">
      <c r="A138" s="21">
        <v>42979</v>
      </c>
      <c r="B138" s="22">
        <v>0</v>
      </c>
      <c r="C138" s="22">
        <v>170612</v>
      </c>
      <c r="D138" s="22">
        <v>0</v>
      </c>
      <c r="E138" s="22">
        <v>24960</v>
      </c>
      <c r="F138" s="22">
        <f t="shared" si="7"/>
        <v>195572</v>
      </c>
      <c r="H138" s="9">
        <f>4514.9+4495.9+57254.4+-53.3+4576.8+4367.2+4338.4+57593.7+4529.3+4666.3+83173.7+4618.6+84833.6+4248.3</f>
        <v>323157.8</v>
      </c>
      <c r="I138" s="9">
        <f t="shared" si="10"/>
        <v>15005882.599999998</v>
      </c>
      <c r="J138" s="24"/>
      <c r="K138" s="23">
        <f t="shared" si="8"/>
        <v>194072.16666666666</v>
      </c>
      <c r="L138" s="9"/>
    </row>
    <row r="139" spans="1:12" hidden="1" x14ac:dyDescent="0.2">
      <c r="A139" s="21">
        <v>43009</v>
      </c>
      <c r="B139" s="22">
        <v>0</v>
      </c>
      <c r="C139" s="22">
        <v>169114</v>
      </c>
      <c r="D139" s="22">
        <v>0</v>
      </c>
      <c r="E139" s="22">
        <v>24885</v>
      </c>
      <c r="F139" s="22">
        <f t="shared" si="7"/>
        <v>193999</v>
      </c>
      <c r="H139" s="9">
        <f>7523.8+7767.5+77087.2+7614.6+7319.3+-82.8+7227.7+72281.3+7670.6+7606.3+102437.5+-19.3+7537.2+102826.3+7157.6</f>
        <v>421954.8</v>
      </c>
      <c r="I139" s="9">
        <f>SUM(H128:H139)</f>
        <v>14997732.299999999</v>
      </c>
      <c r="J139" s="24"/>
      <c r="K139" s="23">
        <f>AVERAGE(F128:F139)</f>
        <v>193955</v>
      </c>
      <c r="L139" s="9"/>
    </row>
    <row r="140" spans="1:12" hidden="1" x14ac:dyDescent="0.2">
      <c r="A140" s="21">
        <v>43040</v>
      </c>
      <c r="B140" s="22">
        <v>0</v>
      </c>
      <c r="C140" s="22">
        <v>169345</v>
      </c>
      <c r="D140" s="22">
        <v>0</v>
      </c>
      <c r="E140" s="22">
        <v>24903</v>
      </c>
      <c r="F140" s="22">
        <f t="shared" si="7"/>
        <v>194248</v>
      </c>
      <c r="H140" s="9">
        <f>25261+6764.7+246598.3+25820.5+25618.7+25162+245857.5+2527.4+25634+351135+-80.6+26294.4+350506+25670.9</f>
        <v>1382769.7999999998</v>
      </c>
      <c r="I140" s="9">
        <f>SUM(H129:H140)</f>
        <v>15267659.999999996</v>
      </c>
      <c r="J140" s="24"/>
      <c r="K140" s="23">
        <f>AVERAGE(F129:F140)</f>
        <v>194131.91666666666</v>
      </c>
      <c r="L140" s="9"/>
    </row>
    <row r="141" spans="1:12" hidden="1" x14ac:dyDescent="0.2">
      <c r="A141" s="21">
        <v>43070</v>
      </c>
      <c r="B141" s="22">
        <v>0</v>
      </c>
      <c r="C141" s="22">
        <v>154260</v>
      </c>
      <c r="D141" s="22">
        <v>0</v>
      </c>
      <c r="E141" s="22">
        <v>24394</v>
      </c>
      <c r="F141" s="22">
        <f t="shared" si="7"/>
        <v>178654</v>
      </c>
      <c r="H141" s="9">
        <f>57715.6+59531.6+444280.4+58452.2+58659.7+58202.5+441911+59233.8+628271.1+-0.6+60224.1+624272.9+58473.1</f>
        <v>2609227.4</v>
      </c>
      <c r="I141" s="9">
        <f t="shared" ref="I141:I151" si="11">SUM(H130:H141)</f>
        <v>15429355.999999998</v>
      </c>
      <c r="J141" s="24"/>
      <c r="K141" s="23">
        <f t="shared" ref="K141:K151" si="12">AVERAGE(F130:F141)</f>
        <v>193713.83333333334</v>
      </c>
      <c r="L141" s="9"/>
    </row>
    <row r="142" spans="1:12" hidden="1" x14ac:dyDescent="0.2">
      <c r="A142" s="21">
        <v>43101</v>
      </c>
      <c r="B142" s="22">
        <v>0</v>
      </c>
      <c r="C142" s="22">
        <v>158360</v>
      </c>
      <c r="D142" s="22">
        <v>0</v>
      </c>
      <c r="E142" s="22">
        <v>24590</v>
      </c>
      <c r="F142" s="22">
        <f t="shared" si="7"/>
        <v>182950</v>
      </c>
      <c r="H142" s="9">
        <f>102103.1+105265.4+633320.7+103882.5+104841.3+102069.4+630860.8+101000.9+-48.6+104883.3+884281.1+107606.3+879572.9+104515</f>
        <v>3964154.0999999996</v>
      </c>
      <c r="I142" s="9">
        <f t="shared" si="11"/>
        <v>16428491.100000001</v>
      </c>
      <c r="J142" s="24"/>
      <c r="K142" s="23">
        <f t="shared" si="12"/>
        <v>194035.66666666666</v>
      </c>
      <c r="L142" s="9"/>
    </row>
    <row r="143" spans="1:12" hidden="1" x14ac:dyDescent="0.2">
      <c r="A143" s="21">
        <v>43132</v>
      </c>
      <c r="B143" s="22">
        <v>0</v>
      </c>
      <c r="C143" s="22">
        <v>170898</v>
      </c>
      <c r="D143" s="22">
        <v>0</v>
      </c>
      <c r="E143" s="22">
        <v>25684</v>
      </c>
      <c r="F143" s="22">
        <f t="shared" si="7"/>
        <v>196582</v>
      </c>
      <c r="H143" s="9">
        <f>98549.5+99794.3+477361.5+98847.8+99461.5+99565.6+473618.7+97058.9+-27.2+99979.6+658605.6+-132.2+101175.3+652545.6+99569.6</f>
        <v>3155974.1</v>
      </c>
      <c r="I143" s="9">
        <f t="shared" si="11"/>
        <v>17118961.800000001</v>
      </c>
      <c r="J143" s="24"/>
      <c r="K143" s="23">
        <f t="shared" si="12"/>
        <v>194336.33333333334</v>
      </c>
      <c r="L143" s="9"/>
    </row>
    <row r="144" spans="1:12" hidden="1" x14ac:dyDescent="0.2">
      <c r="A144" s="21">
        <v>43160</v>
      </c>
      <c r="B144" s="22">
        <v>0</v>
      </c>
      <c r="C144" s="22">
        <v>185752</v>
      </c>
      <c r="D144" s="22">
        <v>0</v>
      </c>
      <c r="E144" s="22">
        <v>27151</v>
      </c>
      <c r="F144" s="22">
        <f t="shared" si="7"/>
        <v>212903</v>
      </c>
      <c r="H144" s="9">
        <f>97960.4+98432.9+427912.5+97543.4+102460.9+98199.3+422120.7+95514+98121.5+583720.2+100230.8+579295.9+97954.1</f>
        <v>2899466.5999999996</v>
      </c>
      <c r="I144" s="9">
        <f t="shared" si="11"/>
        <v>17786703.799999997</v>
      </c>
      <c r="J144" s="24"/>
      <c r="K144" s="23">
        <f t="shared" si="12"/>
        <v>195913.25</v>
      </c>
      <c r="L144" s="9"/>
    </row>
    <row r="145" spans="1:12" hidden="1" x14ac:dyDescent="0.2">
      <c r="A145" s="21">
        <v>43191</v>
      </c>
      <c r="B145" s="22">
        <v>0</v>
      </c>
      <c r="C145" s="22">
        <v>192388</v>
      </c>
      <c r="D145" s="22">
        <v>0</v>
      </c>
      <c r="E145" s="22">
        <v>27394</v>
      </c>
      <c r="F145" s="22">
        <f t="shared" si="7"/>
        <v>219782</v>
      </c>
      <c r="H145" s="9">
        <f>22209.8+22092.1+447560.4+22258.1+199278.7+21980.7+96798.7+20794.7+-2.9+22494.4+664471.6+22914.4+661211+21620</f>
        <v>2245681.6999999997</v>
      </c>
      <c r="I145" s="9">
        <f t="shared" si="11"/>
        <v>18642007.399999999</v>
      </c>
      <c r="J145" s="24"/>
      <c r="K145" s="23">
        <f t="shared" si="12"/>
        <v>197661.33333333334</v>
      </c>
      <c r="L145" s="9"/>
    </row>
    <row r="146" spans="1:12" hidden="1" x14ac:dyDescent="0.2">
      <c r="A146" s="21">
        <v>43221</v>
      </c>
      <c r="B146" s="22">
        <v>0</v>
      </c>
      <c r="C146" s="22">
        <v>196295</v>
      </c>
      <c r="D146" s="22">
        <v>0</v>
      </c>
      <c r="E146" s="22">
        <v>27945</v>
      </c>
      <c r="F146" s="22">
        <f t="shared" si="7"/>
        <v>224240</v>
      </c>
      <c r="H146" s="9">
        <f>-77.6-118.6+160652.5+-227.6+80615.9+18+149.4+-13.2+-95.3+242460.1+-9.3+18.4+244238.2+-6.4</f>
        <v>727604.5</v>
      </c>
      <c r="I146" s="9">
        <f t="shared" si="11"/>
        <v>18610926.699999999</v>
      </c>
      <c r="J146" s="24"/>
      <c r="K146" s="23">
        <f t="shared" si="12"/>
        <v>198482.58333333334</v>
      </c>
      <c r="L146" s="9"/>
    </row>
    <row r="147" spans="1:12" hidden="1" x14ac:dyDescent="0.2">
      <c r="A147" s="21">
        <v>43252</v>
      </c>
      <c r="B147" s="22">
        <v>0</v>
      </c>
      <c r="C147" s="22">
        <v>167770</v>
      </c>
      <c r="D147" s="22">
        <v>0</v>
      </c>
      <c r="E147" s="22">
        <v>27301</v>
      </c>
      <c r="F147" s="22">
        <f t="shared" si="7"/>
        <v>195071</v>
      </c>
      <c r="H147" s="9">
        <f>-184+1096+62903.6+1352.9+32061.7+1089.1+1078.5+1158.8+-0.5+1221.1+95600.8+1120.3+94851.5+-6.4+1323.7</f>
        <v>294667.09999999998</v>
      </c>
      <c r="I147" s="9">
        <f t="shared" si="11"/>
        <v>18550560.600000001</v>
      </c>
      <c r="J147" s="24"/>
      <c r="K147" s="23">
        <f t="shared" si="12"/>
        <v>198359.91666666666</v>
      </c>
      <c r="L147" s="9"/>
    </row>
    <row r="148" spans="1:12" hidden="1" x14ac:dyDescent="0.2">
      <c r="A148" s="21">
        <v>43282</v>
      </c>
      <c r="B148" s="22">
        <v>0</v>
      </c>
      <c r="C148" s="22">
        <v>159459</v>
      </c>
      <c r="D148" s="22">
        <v>0</v>
      </c>
      <c r="E148" s="22">
        <v>27107</v>
      </c>
      <c r="F148" s="22">
        <f t="shared" si="7"/>
        <v>186566</v>
      </c>
      <c r="H148" s="9">
        <f>52502.9+2673.4+2569.6+27441.1+2556.4+2592.1+2628.8+2633.1+78519.2+2732.5+78360.4+2632.5</f>
        <v>257842</v>
      </c>
      <c r="I148" s="9">
        <f t="shared" si="11"/>
        <v>18540061.399999999</v>
      </c>
      <c r="J148" s="24"/>
      <c r="K148" s="23">
        <f t="shared" si="12"/>
        <v>197559.25</v>
      </c>
      <c r="L148" s="9"/>
    </row>
    <row r="149" spans="1:12" hidden="1" x14ac:dyDescent="0.2">
      <c r="A149" s="21">
        <v>43313</v>
      </c>
      <c r="B149" s="22">
        <v>0</v>
      </c>
      <c r="C149" s="22">
        <v>165874</v>
      </c>
      <c r="D149" s="22">
        <v>0</v>
      </c>
      <c r="E149" s="22">
        <v>27069</v>
      </c>
      <c r="F149" s="22">
        <f t="shared" si="7"/>
        <v>192943</v>
      </c>
      <c r="H149" s="9">
        <f>-1.1+3304.5+46534.1+3245.6+24746.6+13.6+3187.9+3368.6+3126.9+-7.1+3184.3+69836.5+3116.9+68653.2+3189.4</f>
        <v>235499.9</v>
      </c>
      <c r="I149" s="9">
        <f t="shared" si="11"/>
        <v>18517999.799999997</v>
      </c>
      <c r="J149" s="24"/>
      <c r="K149" s="23">
        <f t="shared" si="12"/>
        <v>197792.5</v>
      </c>
      <c r="L149" s="9"/>
    </row>
    <row r="150" spans="1:12" hidden="1" x14ac:dyDescent="0.2">
      <c r="A150" s="21">
        <v>43344</v>
      </c>
      <c r="B150" s="22">
        <v>0</v>
      </c>
      <c r="C150" s="22">
        <v>164341</v>
      </c>
      <c r="D150" s="22">
        <v>0</v>
      </c>
      <c r="E150" s="22">
        <v>26944</v>
      </c>
      <c r="F150" s="22">
        <f t="shared" si="7"/>
        <v>191285</v>
      </c>
      <c r="H150" s="9">
        <f>-10.8+5041.8+51327.5+5183.6+27810.9+1379.1+5043.5+5047.6+4838.6+5019.7+76259.7+-4.5+24.7+4860.8+75116.4+4915.6</f>
        <v>271854.19999999995</v>
      </c>
      <c r="I150" s="9">
        <f t="shared" si="11"/>
        <v>18466696.199999999</v>
      </c>
      <c r="J150" s="24"/>
      <c r="K150" s="23">
        <f t="shared" si="12"/>
        <v>197435.25</v>
      </c>
      <c r="L150" s="9"/>
    </row>
    <row r="151" spans="1:12" hidden="1" x14ac:dyDescent="0.2">
      <c r="A151" s="21">
        <v>43374</v>
      </c>
      <c r="B151" s="22">
        <v>0</v>
      </c>
      <c r="C151" s="22">
        <v>170367</v>
      </c>
      <c r="D151" s="22">
        <v>0</v>
      </c>
      <c r="E151" s="22">
        <v>26804</v>
      </c>
      <c r="F151" s="22">
        <f t="shared" si="7"/>
        <v>197171</v>
      </c>
      <c r="H151" s="9">
        <f>-53.7+12089+113076.3+11590.1+61383.5+6756+11767.1+11886.3+11162.9+-9.4+12008.1+166366.8+-15.5+11765+162695.4+11842</f>
        <v>604309.9</v>
      </c>
      <c r="I151" s="9">
        <f t="shared" si="11"/>
        <v>18649051.299999993</v>
      </c>
      <c r="J151" s="24"/>
      <c r="K151" s="23">
        <f t="shared" si="12"/>
        <v>197699.58333333334</v>
      </c>
      <c r="L151" s="9"/>
    </row>
    <row r="152" spans="1:12" hidden="1" x14ac:dyDescent="0.2">
      <c r="A152" s="21">
        <v>43405</v>
      </c>
      <c r="B152" s="22">
        <v>0</v>
      </c>
      <c r="C152" s="22">
        <v>164543</v>
      </c>
      <c r="D152" s="22">
        <v>0</v>
      </c>
      <c r="E152" s="22">
        <v>26722</v>
      </c>
      <c r="F152" s="22">
        <f t="shared" si="7"/>
        <v>191265</v>
      </c>
      <c r="H152" s="9">
        <f>-38.6+41593+334643.6+40390.7+186753.7+29297.3+41196.2+41371.3+39302.2+-24.6+40653.2+487912.7+41004.1+478633.1+40756.3</f>
        <v>1843444.2</v>
      </c>
      <c r="I152" s="9">
        <f t="shared" ref="I152:I187" si="13">SUM(H141:H152)</f>
        <v>19109725.699999996</v>
      </c>
      <c r="J152" s="24"/>
      <c r="K152" s="23">
        <f t="shared" ref="K152:K187" si="14">AVERAGE(F141:F152)</f>
        <v>197451</v>
      </c>
      <c r="L152" s="9"/>
    </row>
    <row r="153" spans="1:12" hidden="1" x14ac:dyDescent="0.2">
      <c r="A153" s="21">
        <v>43435</v>
      </c>
      <c r="B153" s="22">
        <v>0</v>
      </c>
      <c r="C153" s="22">
        <v>162390</v>
      </c>
      <c r="D153" s="22">
        <v>0</v>
      </c>
      <c r="E153" s="22">
        <v>26899</v>
      </c>
      <c r="F153" s="22">
        <f t="shared" si="7"/>
        <v>189289</v>
      </c>
      <c r="H153" s="9">
        <f>62021.8+478741.2+60356.3+268732.3+46802.5+62286.3+61721.6+59254+-11.8+-24.1+61614.8+696690.5+60735.1+681600.6+61575.7</f>
        <v>2662096.8000000003</v>
      </c>
      <c r="I153" s="9">
        <f t="shared" si="13"/>
        <v>19162595.099999998</v>
      </c>
      <c r="J153" s="24"/>
      <c r="K153" s="23">
        <f t="shared" si="14"/>
        <v>198337.25</v>
      </c>
      <c r="L153" s="9"/>
    </row>
    <row r="154" spans="1:12" hidden="1" x14ac:dyDescent="0.2">
      <c r="A154" s="21">
        <v>43466</v>
      </c>
      <c r="B154" s="22">
        <v>0</v>
      </c>
      <c r="C154" s="22">
        <v>157399</v>
      </c>
      <c r="D154" s="22">
        <v>0</v>
      </c>
      <c r="E154" s="22">
        <v>27462</v>
      </c>
      <c r="F154" s="22">
        <f t="shared" si="7"/>
        <v>184861</v>
      </c>
      <c r="H154" s="9">
        <f>-34.6+89635.5+544165.5+88397.5+314860.9+73722.8+90972.3+90262.6+87217.3+89575.5+781293.4+88694.5+764911.2+90815.7</f>
        <v>3194490.1000000006</v>
      </c>
      <c r="I154" s="9">
        <f t="shared" si="13"/>
        <v>18392931.099999998</v>
      </c>
      <c r="J154" s="24"/>
      <c r="K154" s="23">
        <f t="shared" si="14"/>
        <v>198496.5</v>
      </c>
    </row>
    <row r="155" spans="1:12" hidden="1" x14ac:dyDescent="0.2">
      <c r="A155" s="21">
        <v>43497</v>
      </c>
      <c r="B155" s="22">
        <v>0</v>
      </c>
      <c r="C155" s="22">
        <v>162390</v>
      </c>
      <c r="D155" s="22">
        <v>0</v>
      </c>
      <c r="E155" s="22">
        <v>26899</v>
      </c>
      <c r="F155" s="22">
        <f t="shared" si="7"/>
        <v>189289</v>
      </c>
      <c r="H155" s="9">
        <f>-390.1+95068.4+555676.1-1.5+92125.6+322793.5+78629.1+95503+94161.5+88316.6-103.8+93782.4+793090.5-71.9+91687.1+778095.6+94459.4</f>
        <v>3272821.5</v>
      </c>
      <c r="I155" s="9">
        <f t="shared" si="13"/>
        <v>18509778.5</v>
      </c>
      <c r="J155" s="24"/>
      <c r="K155" s="23">
        <f t="shared" si="14"/>
        <v>197888.75</v>
      </c>
    </row>
    <row r="156" spans="1:12" hidden="1" x14ac:dyDescent="0.2">
      <c r="A156" s="21">
        <v>43525</v>
      </c>
      <c r="B156" s="22">
        <v>0</v>
      </c>
      <c r="C156" s="22">
        <v>168779</v>
      </c>
      <c r="D156" s="22">
        <v>0</v>
      </c>
      <c r="E156" s="22">
        <v>28799</v>
      </c>
      <c r="F156" s="22">
        <f t="shared" si="7"/>
        <v>197578</v>
      </c>
      <c r="H156" s="9">
        <f>2458.1+81404+416467.5+80191.2+243716.7+69407+81646.3+82479.5+77198.2+-15.5+80232.6+585200.2+-53.1+80241+573631.3+81430.5</f>
        <v>2535635.5</v>
      </c>
      <c r="I156" s="9">
        <f t="shared" si="13"/>
        <v>18145947.400000002</v>
      </c>
      <c r="J156" s="24"/>
      <c r="K156" s="23">
        <f t="shared" si="14"/>
        <v>196611.66666666666</v>
      </c>
    </row>
    <row r="157" spans="1:12" hidden="1" x14ac:dyDescent="0.2">
      <c r="A157" s="21">
        <v>43556</v>
      </c>
      <c r="B157" s="22">
        <v>0</v>
      </c>
      <c r="C157" s="22">
        <v>154200</v>
      </c>
      <c r="D157" s="22">
        <v>0</v>
      </c>
      <c r="E157" s="22">
        <v>28718</v>
      </c>
      <c r="F157" s="22">
        <f t="shared" si="7"/>
        <v>182918</v>
      </c>
      <c r="H157" s="9">
        <f>294617.3+12706.3+346243+12601.1+128884.6+11093.6+12762.4+12224.7+12205.4+12367.6+364288.3+-46.1+12882.6+68050.7+12233</f>
        <v>1313114.4999999998</v>
      </c>
      <c r="I157" s="9">
        <f t="shared" si="13"/>
        <v>17213380.199999999</v>
      </c>
      <c r="J157" s="24"/>
      <c r="K157" s="23">
        <f t="shared" si="14"/>
        <v>193539.66666666666</v>
      </c>
    </row>
    <row r="158" spans="1:12" hidden="1" x14ac:dyDescent="0.2">
      <c r="A158" s="21">
        <v>43586</v>
      </c>
      <c r="B158" s="22">
        <v>0</v>
      </c>
      <c r="C158" s="22">
        <v>149977</v>
      </c>
      <c r="D158" s="22">
        <v>0</v>
      </c>
      <c r="E158" s="22">
        <v>29062</v>
      </c>
      <c r="F158" s="22">
        <f t="shared" si="7"/>
        <v>179039</v>
      </c>
      <c r="H158" s="9">
        <f>202350.3+-79.4+201951.8+39.3+-75.8+67223.2+22+-41.8+-57.8+-50.8+-336.6+203115+-109.7+-130.2+2.7</f>
        <v>673822.20000000007</v>
      </c>
      <c r="I158" s="9">
        <f t="shared" si="13"/>
        <v>17159597.899999999</v>
      </c>
      <c r="J158" s="24"/>
      <c r="K158" s="23">
        <f t="shared" si="14"/>
        <v>189772.91666666666</v>
      </c>
    </row>
    <row r="159" spans="1:12" hidden="1" x14ac:dyDescent="0.2">
      <c r="A159" s="21">
        <v>43617</v>
      </c>
      <c r="B159" s="22">
        <v>0</v>
      </c>
      <c r="C159" s="22">
        <v>147853</v>
      </c>
      <c r="D159" s="22">
        <v>0</v>
      </c>
      <c r="E159" s="22">
        <v>28458</v>
      </c>
      <c r="F159" s="22">
        <f t="shared" si="7"/>
        <v>176311</v>
      </c>
      <c r="H159" s="9">
        <f>87749.6+948+86851.4+1085.4+-262.3+29558.5+-44.1+962.4+1064.3+614.5+-111.7+-146.3+1155.1+87638.8+1068.1+-344+975.9</f>
        <v>298763.59999999998</v>
      </c>
      <c r="I159" s="9">
        <f t="shared" si="13"/>
        <v>17163694.400000002</v>
      </c>
      <c r="J159" s="24"/>
      <c r="K159" s="23">
        <f t="shared" si="14"/>
        <v>188209.58333333334</v>
      </c>
    </row>
    <row r="160" spans="1:12" hidden="1" x14ac:dyDescent="0.2">
      <c r="A160" s="21">
        <v>43647</v>
      </c>
      <c r="B160" s="22">
        <v>0</v>
      </c>
      <c r="C160" s="22">
        <v>132692</v>
      </c>
      <c r="D160" s="22">
        <v>0</v>
      </c>
      <c r="E160" s="22">
        <v>27779</v>
      </c>
      <c r="F160" s="22">
        <f t="shared" si="7"/>
        <v>160471</v>
      </c>
      <c r="H160" s="9">
        <f>59232.3+2109.2+59918+-50+2363.2+-84.8+21264.1+-46.4+2251.6+2226.8+2081.2+-47+2211.7+59822.2+-2.5+2347+-80.9+2115.4</f>
        <v>217631.10000000003</v>
      </c>
      <c r="I160" s="9">
        <f t="shared" si="13"/>
        <v>17123483.500000004</v>
      </c>
      <c r="J160" s="24"/>
      <c r="K160" s="23">
        <f t="shared" si="14"/>
        <v>186035</v>
      </c>
    </row>
    <row r="161" spans="1:11" hidden="1" x14ac:dyDescent="0.2">
      <c r="A161" s="21">
        <v>43678</v>
      </c>
      <c r="B161" s="22">
        <v>0</v>
      </c>
      <c r="C161" s="22">
        <v>139613</v>
      </c>
      <c r="D161" s="22">
        <v>0</v>
      </c>
      <c r="E161" s="22">
        <v>27616</v>
      </c>
      <c r="F161" s="22">
        <f t="shared" si="7"/>
        <v>167229</v>
      </c>
      <c r="H161" s="9">
        <f>53977.8+3115.5+54116.8+3219.3+19946.7+3800.2+3177.9+3200.7+3029.7+-55.1+3132.5+54583.1+2961.5+-46.9+2299.4</f>
        <v>210459.10000000003</v>
      </c>
      <c r="I161" s="9">
        <f t="shared" si="13"/>
        <v>17098442.699999999</v>
      </c>
      <c r="J161" s="24"/>
      <c r="K161" s="23">
        <f t="shared" si="14"/>
        <v>183892.16666666666</v>
      </c>
    </row>
    <row r="162" spans="1:11" hidden="1" x14ac:dyDescent="0.2">
      <c r="A162" s="21">
        <v>43709</v>
      </c>
      <c r="B162" s="22">
        <v>0</v>
      </c>
      <c r="C162" s="22">
        <v>139949</v>
      </c>
      <c r="D162" s="22">
        <v>0</v>
      </c>
      <c r="E162" s="22">
        <v>27454</v>
      </c>
      <c r="F162" s="22">
        <f t="shared" si="7"/>
        <v>167403</v>
      </c>
      <c r="H162" s="9">
        <f>58718.2+4686.3+57994.6+4729+-0.4+22300.8+-43.9+4824.6+4863.6+4466+-9.1+4592+58839.9+4771.7+-190.1+4362.7</f>
        <v>234905.90000000002</v>
      </c>
      <c r="I162" s="9">
        <f t="shared" si="13"/>
        <v>17061494.399999999</v>
      </c>
      <c r="J162" s="24"/>
      <c r="K162" s="23">
        <f t="shared" si="14"/>
        <v>181902</v>
      </c>
    </row>
    <row r="163" spans="1:11" hidden="1" x14ac:dyDescent="0.2">
      <c r="A163" s="21">
        <v>43739</v>
      </c>
      <c r="B163" s="22">
        <v>0</v>
      </c>
      <c r="C163" s="22">
        <v>144471</v>
      </c>
      <c r="D163" s="22">
        <v>0</v>
      </c>
      <c r="E163" s="22">
        <v>27277</v>
      </c>
      <c r="F163" s="22">
        <f t="shared" si="7"/>
        <v>171748</v>
      </c>
      <c r="H163" s="9">
        <f>107159.1+9588+107407.8+9536+-0.1+42098.5+-193.2+9487.5+9434.9+9354.1+9705.9+107170.7+9485.2+-320.6+9575.8</f>
        <v>439489.60000000009</v>
      </c>
      <c r="I163" s="9">
        <f t="shared" si="13"/>
        <v>16896674.100000001</v>
      </c>
      <c r="J163" s="24"/>
      <c r="K163" s="23">
        <f t="shared" si="14"/>
        <v>179783.41666666666</v>
      </c>
    </row>
    <row r="164" spans="1:11" hidden="1" x14ac:dyDescent="0.2">
      <c r="A164" s="21">
        <v>43770</v>
      </c>
      <c r="B164" s="22">
        <v>0</v>
      </c>
      <c r="C164" s="22">
        <v>141378</v>
      </c>
      <c r="D164" s="22">
        <v>0</v>
      </c>
      <c r="E164" s="22">
        <v>27041</v>
      </c>
      <c r="F164" s="22">
        <f t="shared" si="7"/>
        <v>168419</v>
      </c>
      <c r="H164" s="9">
        <f>341571.2+38052.2+343266.9+36285.6+-239+138531.2+38171.2+37290.7+36243.2+38423.3+341492.6+37554.8+-11.9+36591.2</f>
        <v>1463223.2000000002</v>
      </c>
      <c r="I164" s="9">
        <f t="shared" si="13"/>
        <v>16516453.099999998</v>
      </c>
      <c r="J164" s="24"/>
      <c r="K164" s="23">
        <f t="shared" si="14"/>
        <v>177879.58333333334</v>
      </c>
    </row>
    <row r="165" spans="1:11" hidden="1" x14ac:dyDescent="0.2">
      <c r="A165" s="21">
        <v>43800</v>
      </c>
      <c r="B165" s="22">
        <v>0</v>
      </c>
      <c r="C165" s="22">
        <v>150572</v>
      </c>
      <c r="D165" s="22">
        <v>0</v>
      </c>
      <c r="E165" s="22">
        <v>26396</v>
      </c>
      <c r="F165" s="22">
        <f t="shared" si="7"/>
        <v>176968</v>
      </c>
      <c r="H165" s="9">
        <f>489578.9+69315.2+493616.9+67422.9+-53.7+210207.9+-63.1+69095.5+69113.7+64581.4+68666.8+491262.2+-1+67749.5+-22+67941.9</f>
        <v>2228412.9999999995</v>
      </c>
      <c r="I165" s="9">
        <f t="shared" si="13"/>
        <v>16082769.300000001</v>
      </c>
      <c r="J165" s="24"/>
      <c r="K165" s="23">
        <f t="shared" si="14"/>
        <v>176852.83333333334</v>
      </c>
    </row>
    <row r="166" spans="1:11" hidden="1" x14ac:dyDescent="0.2">
      <c r="A166" s="21">
        <v>43831</v>
      </c>
      <c r="B166" s="22">
        <v>0</v>
      </c>
      <c r="C166" s="22">
        <v>146947</v>
      </c>
      <c r="D166" s="22">
        <v>0</v>
      </c>
      <c r="E166" s="22">
        <v>26006</v>
      </c>
      <c r="F166" s="22">
        <f t="shared" si="7"/>
        <v>172953</v>
      </c>
      <c r="H166" s="9">
        <f>525684.7+90865.5+528696.1+90631.7+-1.8+236299.2+-9.4+92544.1+91172.1+87729.5+91634.4+526481+90139.5+0+91209.6</f>
        <v>2543076.1999999997</v>
      </c>
      <c r="I166" s="9">
        <f t="shared" si="13"/>
        <v>15431355.399999999</v>
      </c>
      <c r="J166" s="24"/>
      <c r="K166" s="23">
        <f t="shared" si="14"/>
        <v>175860.5</v>
      </c>
    </row>
    <row r="167" spans="1:11" hidden="1" x14ac:dyDescent="0.2">
      <c r="A167" s="21">
        <v>43862</v>
      </c>
      <c r="B167" s="22">
        <v>0</v>
      </c>
      <c r="C167" s="22">
        <v>156462</v>
      </c>
      <c r="D167" s="22">
        <v>0</v>
      </c>
      <c r="E167" s="22">
        <v>26712</v>
      </c>
      <c r="F167" s="22">
        <f t="shared" si="7"/>
        <v>183174</v>
      </c>
      <c r="H167" s="25">
        <f>89905.4+-19.2+89357.8+490919.3+89269.9+-33+85556.3+88932.8+89103.4+-33+225324.7+-2+88506+492789.6+89305.9+489889.4</f>
        <v>2408773.2999999998</v>
      </c>
      <c r="I167" s="9">
        <f t="shared" si="13"/>
        <v>14567307.199999999</v>
      </c>
      <c r="J167" s="24"/>
      <c r="K167" s="23">
        <f t="shared" si="14"/>
        <v>175350.91666666666</v>
      </c>
    </row>
    <row r="168" spans="1:11" hidden="1" x14ac:dyDescent="0.2">
      <c r="A168" s="21">
        <v>43891</v>
      </c>
      <c r="B168" s="22">
        <v>0</v>
      </c>
      <c r="C168" s="22">
        <v>130910</v>
      </c>
      <c r="D168" s="22">
        <v>0</v>
      </c>
      <c r="E168" s="22">
        <v>26607</v>
      </c>
      <c r="F168" s="22">
        <f t="shared" si="7"/>
        <v>157517</v>
      </c>
      <c r="H168" s="9">
        <f>369696.8+62979.9+370388.8+62886.3+164763.7+-23.1+63324.2+62075.3+61075.6+63411.7+367501+864.9+62934+0+62736</f>
        <v>1774615.1</v>
      </c>
      <c r="I168" s="9">
        <f t="shared" si="13"/>
        <v>13806286.799999999</v>
      </c>
      <c r="J168" s="24"/>
      <c r="K168" s="23">
        <f t="shared" si="14"/>
        <v>172012.5</v>
      </c>
    </row>
    <row r="169" spans="1:11" hidden="1" x14ac:dyDescent="0.2">
      <c r="A169" s="21">
        <v>43922</v>
      </c>
      <c r="B169" s="22">
        <v>0</v>
      </c>
      <c r="C169" s="22">
        <v>134812</v>
      </c>
      <c r="D169" s="22">
        <v>0</v>
      </c>
      <c r="E169" s="22">
        <v>26473</v>
      </c>
      <c r="F169" s="22">
        <f t="shared" si="7"/>
        <v>161285</v>
      </c>
      <c r="H169" s="9">
        <f>530680.8+12241+529092.2+12180.7+-15+25895+12107.8+11769.8+11449.1+170196.4+56071.1+314955+11875.4+11911.8</f>
        <v>1710411.1</v>
      </c>
      <c r="I169" s="9">
        <f t="shared" si="13"/>
        <v>14203583.399999999</v>
      </c>
      <c r="J169" s="24"/>
      <c r="K169" s="23">
        <f t="shared" si="14"/>
        <v>170209.75</v>
      </c>
    </row>
    <row r="170" spans="1:11" hidden="1" x14ac:dyDescent="0.2">
      <c r="A170" s="21">
        <v>43952</v>
      </c>
      <c r="B170" s="22">
        <v>5742</v>
      </c>
      <c r="C170" s="22">
        <v>137835</v>
      </c>
      <c r="D170" s="22">
        <v>1188</v>
      </c>
      <c r="E170" s="22">
        <v>28579</v>
      </c>
      <c r="F170" s="22">
        <f t="shared" ref="F170:F222" si="15">SUM(B170:E170)</f>
        <v>173344</v>
      </c>
      <c r="H170" s="9">
        <f>+-2983.2+-62.2+-3342.4+211443.2+-6133.6+104053.6+-3357.8+-3474.3+2975.2+-4559.2+120+-2701.5+0.2+326406.7+-2819.5+312874.3</f>
        <v>928439.5</v>
      </c>
      <c r="I170" s="9">
        <f t="shared" si="13"/>
        <v>14458200.699999999</v>
      </c>
      <c r="J170" s="24"/>
      <c r="K170" s="23">
        <f t="shared" si="14"/>
        <v>169735.16666666666</v>
      </c>
    </row>
    <row r="171" spans="1:11" hidden="1" x14ac:dyDescent="0.2">
      <c r="A171" s="21">
        <v>43983</v>
      </c>
      <c r="B171" s="22">
        <v>5556</v>
      </c>
      <c r="C171" s="22">
        <v>141985</v>
      </c>
      <c r="D171" s="22">
        <v>1227</v>
      </c>
      <c r="E171" s="22">
        <v>27515</v>
      </c>
      <c r="F171" s="22">
        <f t="shared" si="15"/>
        <v>176283</v>
      </c>
      <c r="H171" s="9">
        <f>493.7+-15.1+-82+73121.5+515.1+36389.4+412.9+970.1+377.5+434.7+511.3+512.6+110958.4+473.3+109020.9</f>
        <v>334094.3</v>
      </c>
      <c r="I171" s="9">
        <f t="shared" si="13"/>
        <v>14493531.399999999</v>
      </c>
      <c r="J171" s="24"/>
      <c r="K171" s="23">
        <f t="shared" si="14"/>
        <v>169732.83333333334</v>
      </c>
    </row>
    <row r="172" spans="1:11" hidden="1" x14ac:dyDescent="0.2">
      <c r="A172" s="21">
        <v>44013</v>
      </c>
      <c r="B172" s="22">
        <v>5431</v>
      </c>
      <c r="C172" s="22">
        <v>141341</v>
      </c>
      <c r="D172" s="22">
        <v>1231</v>
      </c>
      <c r="E172" s="22">
        <v>27631</v>
      </c>
      <c r="F172" s="22">
        <f t="shared" si="15"/>
        <v>175634</v>
      </c>
      <c r="H172" s="9">
        <f>1772.6+-3.9+-56.5+47566.3+1725.4+24674.9+1721.7+2171.9+1716.8+-85.6+1609.3+1764.4+1660.1+71682.6+1834.4+70767.9</f>
        <v>230522.3</v>
      </c>
      <c r="I172" s="9">
        <f t="shared" si="13"/>
        <v>14506422.600000001</v>
      </c>
      <c r="J172" s="24"/>
      <c r="K172" s="23">
        <f t="shared" si="14"/>
        <v>170996.41666666666</v>
      </c>
    </row>
    <row r="173" spans="1:11" hidden="1" x14ac:dyDescent="0.2">
      <c r="A173" s="21">
        <v>44044</v>
      </c>
      <c r="B173" s="22">
        <v>5445</v>
      </c>
      <c r="C173" s="22">
        <v>143096</v>
      </c>
      <c r="D173" s="22">
        <v>1237</v>
      </c>
      <c r="E173" s="22">
        <v>27654</v>
      </c>
      <c r="F173" s="22">
        <f t="shared" si="15"/>
        <v>177432</v>
      </c>
      <c r="H173" s="9">
        <f>2663.1+-18+44135.3+2893.5+23331.1+-18.6+2455.3+3090.8+2452.7+2808+2910.5+2663.6+-63+65525.5+2618.5+64971.9</f>
        <v>222420.19999999998</v>
      </c>
      <c r="I173" s="9">
        <f t="shared" si="13"/>
        <v>14518383.699999999</v>
      </c>
      <c r="J173" s="24"/>
      <c r="K173" s="23">
        <f t="shared" si="14"/>
        <v>171846.66666666666</v>
      </c>
    </row>
    <row r="174" spans="1:11" hidden="1" x14ac:dyDescent="0.2">
      <c r="A174" s="21">
        <v>44075</v>
      </c>
      <c r="B174" s="22">
        <v>5359</v>
      </c>
      <c r="C174" s="22">
        <v>141985</v>
      </c>
      <c r="D174" s="22">
        <v>1234</v>
      </c>
      <c r="E174" s="22">
        <v>27703</v>
      </c>
      <c r="F174" s="22">
        <f t="shared" si="15"/>
        <v>176281</v>
      </c>
      <c r="H174" s="9">
        <f>4098+0+-113.1+0+53834.9+3822.1+28501+3593.1+4383.1+3738.8+-0.7+4058.9+4024.6+3768.3+78527.6+3954.9+78493.1</f>
        <v>274684.60000000003</v>
      </c>
      <c r="I174" s="9">
        <f t="shared" si="13"/>
        <v>14558162.4</v>
      </c>
      <c r="J174" s="24"/>
      <c r="K174" s="23">
        <f t="shared" si="14"/>
        <v>172586.5</v>
      </c>
    </row>
    <row r="175" spans="1:11" s="11" customFormat="1" hidden="1" x14ac:dyDescent="0.2">
      <c r="A175" s="26">
        <v>44105</v>
      </c>
      <c r="B175" s="27">
        <v>5150</v>
      </c>
      <c r="C175" s="27">
        <v>137089</v>
      </c>
      <c r="D175" s="27">
        <v>1228</v>
      </c>
      <c r="E175" s="27">
        <v>27703</v>
      </c>
      <c r="F175" s="27">
        <f t="shared" si="15"/>
        <v>171170</v>
      </c>
      <c r="H175" s="10">
        <f>11188.2+-5.2+-160.2+107667.6+10937.4+59681.2+10461.1+10528.6+10742.9+-34.7+11339.3+11418.7+10697.4+156407.5+10955.1+157312.9</f>
        <v>579137.79999999993</v>
      </c>
      <c r="I175" s="10">
        <f t="shared" si="13"/>
        <v>14697810.6</v>
      </c>
      <c r="J175" s="24"/>
      <c r="K175" s="28">
        <f t="shared" si="14"/>
        <v>172538.33333333334</v>
      </c>
    </row>
    <row r="176" spans="1:11" hidden="1" x14ac:dyDescent="0.2">
      <c r="A176" s="26">
        <v>44136</v>
      </c>
      <c r="B176" s="22">
        <v>5087</v>
      </c>
      <c r="C176" s="22">
        <v>131033</v>
      </c>
      <c r="D176" s="22">
        <v>1252</v>
      </c>
      <c r="E176" s="22">
        <v>28060</v>
      </c>
      <c r="F176" s="27">
        <f t="shared" si="15"/>
        <v>165432</v>
      </c>
      <c r="G176" s="11"/>
      <c r="H176" s="10">
        <v>1150112.2</v>
      </c>
      <c r="I176" s="10">
        <f t="shared" si="13"/>
        <v>14384699.6</v>
      </c>
      <c r="J176" s="24"/>
      <c r="K176" s="28">
        <f t="shared" si="14"/>
        <v>172289.41666666666</v>
      </c>
    </row>
    <row r="177" spans="1:11" hidden="1" x14ac:dyDescent="0.2">
      <c r="A177" s="21">
        <v>44166</v>
      </c>
      <c r="B177" s="22">
        <v>5646</v>
      </c>
      <c r="C177" s="22">
        <v>136207</v>
      </c>
      <c r="D177" s="22">
        <v>1238</v>
      </c>
      <c r="E177" s="22">
        <v>27311</v>
      </c>
      <c r="F177" s="22">
        <f t="shared" si="15"/>
        <v>170402</v>
      </c>
      <c r="H177" s="9">
        <v>2055693.1</v>
      </c>
      <c r="I177" s="9">
        <f t="shared" si="13"/>
        <v>14211979.699999999</v>
      </c>
      <c r="J177" s="24"/>
      <c r="K177" s="23">
        <f t="shared" si="14"/>
        <v>171742.25</v>
      </c>
    </row>
    <row r="178" spans="1:11" x14ac:dyDescent="0.2">
      <c r="A178" s="21">
        <v>44197</v>
      </c>
      <c r="B178" s="22">
        <v>6064</v>
      </c>
      <c r="C178" s="22">
        <v>140293</v>
      </c>
      <c r="D178" s="22">
        <v>1294</v>
      </c>
      <c r="E178" s="22">
        <v>27949</v>
      </c>
      <c r="F178" s="22">
        <f t="shared" si="15"/>
        <v>175600</v>
      </c>
      <c r="H178" s="9">
        <v>2732228.6</v>
      </c>
      <c r="I178" s="9">
        <f t="shared" si="13"/>
        <v>14401132.099999998</v>
      </c>
      <c r="J178" s="24"/>
      <c r="K178" s="23">
        <f t="shared" si="14"/>
        <v>171962.83333333334</v>
      </c>
    </row>
    <row r="179" spans="1:11" x14ac:dyDescent="0.2">
      <c r="A179" s="21">
        <v>44228</v>
      </c>
      <c r="B179" s="29">
        <v>6680</v>
      </c>
      <c r="C179" s="29">
        <v>148941</v>
      </c>
      <c r="D179" s="29">
        <v>1329</v>
      </c>
      <c r="E179" s="29">
        <v>28184</v>
      </c>
      <c r="F179" s="22">
        <f t="shared" si="15"/>
        <v>185134</v>
      </c>
      <c r="H179" s="9">
        <v>3168930.5</v>
      </c>
      <c r="I179" s="9">
        <f t="shared" si="13"/>
        <v>15161289.299999999</v>
      </c>
      <c r="J179" s="24"/>
      <c r="K179" s="23">
        <f t="shared" si="14"/>
        <v>172126.16666666666</v>
      </c>
    </row>
    <row r="180" spans="1:11" x14ac:dyDescent="0.2">
      <c r="A180" s="21">
        <v>44256</v>
      </c>
      <c r="B180" s="29">
        <v>6020</v>
      </c>
      <c r="C180" s="29">
        <v>135391</v>
      </c>
      <c r="D180" s="29">
        <v>1298</v>
      </c>
      <c r="E180" s="29">
        <v>27308</v>
      </c>
      <c r="F180" s="22">
        <f t="shared" si="15"/>
        <v>170017</v>
      </c>
      <c r="H180" s="9">
        <v>2102438.1</v>
      </c>
      <c r="I180" s="9">
        <f t="shared" si="13"/>
        <v>15489112.299999999</v>
      </c>
      <c r="J180" s="24"/>
      <c r="K180" s="23">
        <f t="shared" si="14"/>
        <v>173167.83333333334</v>
      </c>
    </row>
    <row r="181" spans="1:11" x14ac:dyDescent="0.2">
      <c r="A181" s="21">
        <v>44287</v>
      </c>
      <c r="B181" s="29">
        <v>6378</v>
      </c>
      <c r="C181" s="29">
        <v>143061</v>
      </c>
      <c r="D181" s="29">
        <v>1387</v>
      </c>
      <c r="E181" s="29">
        <v>28416</v>
      </c>
      <c r="F181" s="22">
        <f t="shared" si="15"/>
        <v>179242</v>
      </c>
      <c r="H181" s="9">
        <v>1282998</v>
      </c>
      <c r="I181" s="9">
        <f t="shared" si="13"/>
        <v>15061699.199999999</v>
      </c>
      <c r="J181" s="24"/>
      <c r="K181" s="23">
        <f t="shared" si="14"/>
        <v>174664.25</v>
      </c>
    </row>
    <row r="182" spans="1:11" x14ac:dyDescent="0.2">
      <c r="A182" s="21">
        <v>44317</v>
      </c>
      <c r="B182" s="29">
        <v>6411</v>
      </c>
      <c r="C182" s="29">
        <v>144668</v>
      </c>
      <c r="D182" s="29">
        <v>1378</v>
      </c>
      <c r="E182" s="29">
        <v>28283</v>
      </c>
      <c r="F182" s="22">
        <f t="shared" si="15"/>
        <v>180740</v>
      </c>
      <c r="H182" s="9">
        <v>880366.6</v>
      </c>
      <c r="I182" s="9">
        <f t="shared" si="13"/>
        <v>15013626.299999999</v>
      </c>
      <c r="J182" s="24"/>
      <c r="K182" s="23">
        <f t="shared" si="14"/>
        <v>175280.58333333334</v>
      </c>
    </row>
    <row r="183" spans="1:11" x14ac:dyDescent="0.2">
      <c r="A183" s="21">
        <v>44348</v>
      </c>
      <c r="B183" s="29">
        <v>6288</v>
      </c>
      <c r="C183" s="29">
        <v>144382</v>
      </c>
      <c r="D183" s="29">
        <v>1364</v>
      </c>
      <c r="E183" s="29">
        <v>28098</v>
      </c>
      <c r="F183" s="22">
        <f t="shared" si="15"/>
        <v>180132</v>
      </c>
      <c r="H183" s="9">
        <v>385833.6</v>
      </c>
      <c r="I183" s="9">
        <f t="shared" si="13"/>
        <v>15065365.599999998</v>
      </c>
      <c r="J183" s="24"/>
      <c r="K183" s="23">
        <f t="shared" si="14"/>
        <v>175601.33333333334</v>
      </c>
    </row>
    <row r="184" spans="1:11" x14ac:dyDescent="0.2">
      <c r="A184" s="21">
        <v>44378</v>
      </c>
      <c r="B184" s="29">
        <v>6261</v>
      </c>
      <c r="C184" s="29">
        <v>148568</v>
      </c>
      <c r="D184" s="29">
        <v>1369</v>
      </c>
      <c r="E184" s="29">
        <v>28216</v>
      </c>
      <c r="F184" s="22">
        <f t="shared" si="15"/>
        <v>184414</v>
      </c>
      <c r="H184" s="9">
        <v>252353.9</v>
      </c>
      <c r="I184" s="9">
        <f t="shared" si="13"/>
        <v>15087197.199999999</v>
      </c>
      <c r="J184" s="24"/>
      <c r="K184" s="23">
        <f>AVERAGE(F173:F184)</f>
        <v>176333</v>
      </c>
    </row>
    <row r="185" spans="1:11" x14ac:dyDescent="0.2">
      <c r="A185" s="21">
        <v>44409</v>
      </c>
      <c r="B185" s="29">
        <v>6207</v>
      </c>
      <c r="C185" s="29">
        <v>149837</v>
      </c>
      <c r="D185" s="29">
        <v>1363</v>
      </c>
      <c r="E185" s="29">
        <v>28137</v>
      </c>
      <c r="F185" s="22">
        <f t="shared" si="15"/>
        <v>185544</v>
      </c>
      <c r="H185" s="9">
        <v>238244.2</v>
      </c>
      <c r="I185" s="9">
        <f t="shared" si="13"/>
        <v>15103021.199999999</v>
      </c>
      <c r="J185" s="24"/>
      <c r="K185" s="23">
        <f t="shared" si="14"/>
        <v>177009</v>
      </c>
    </row>
    <row r="186" spans="1:11" x14ac:dyDescent="0.2">
      <c r="A186" s="21">
        <v>44440</v>
      </c>
      <c r="B186" s="29">
        <v>6084</v>
      </c>
      <c r="C186" s="29">
        <v>151231</v>
      </c>
      <c r="D186" s="29">
        <v>1358</v>
      </c>
      <c r="E186" s="29">
        <v>28164</v>
      </c>
      <c r="F186" s="22">
        <f t="shared" si="15"/>
        <v>186837</v>
      </c>
      <c r="H186" s="9">
        <v>259266.6</v>
      </c>
      <c r="I186" s="9">
        <f t="shared" si="13"/>
        <v>15087603.199999997</v>
      </c>
      <c r="J186" s="24"/>
      <c r="K186" s="23">
        <f t="shared" si="14"/>
        <v>177888.66666666666</v>
      </c>
    </row>
    <row r="187" spans="1:11" x14ac:dyDescent="0.2">
      <c r="A187" s="21">
        <v>44470</v>
      </c>
      <c r="B187" s="29">
        <v>5516</v>
      </c>
      <c r="C187" s="29">
        <v>141539</v>
      </c>
      <c r="D187" s="29">
        <v>1365</v>
      </c>
      <c r="E187" s="29">
        <v>28375</v>
      </c>
      <c r="F187" s="22">
        <f t="shared" si="15"/>
        <v>176795</v>
      </c>
      <c r="H187" s="9">
        <v>377739.3</v>
      </c>
      <c r="I187" s="9">
        <f t="shared" si="13"/>
        <v>14886204.699999999</v>
      </c>
      <c r="J187" s="24"/>
      <c r="K187" s="23">
        <f t="shared" si="14"/>
        <v>178357.41666666666</v>
      </c>
    </row>
    <row r="188" spans="1:11" x14ac:dyDescent="0.2">
      <c r="A188" s="21">
        <v>44530</v>
      </c>
      <c r="B188" s="29">
        <v>5362</v>
      </c>
      <c r="C188" s="29">
        <v>133708</v>
      </c>
      <c r="D188" s="29">
        <v>1359</v>
      </c>
      <c r="E188" s="29">
        <v>28450</v>
      </c>
      <c r="F188" s="22">
        <f t="shared" si="15"/>
        <v>168879</v>
      </c>
      <c r="H188" s="9">
        <v>1208383.5</v>
      </c>
      <c r="I188" s="9">
        <f t="shared" ref="I188:I198" si="16">SUM(H177:H188)</f>
        <v>14944476</v>
      </c>
      <c r="J188" s="24"/>
      <c r="K188" s="23">
        <f t="shared" ref="K188:K199" si="17">AVERAGE(F177:F188)</f>
        <v>178644.66666666666</v>
      </c>
    </row>
    <row r="189" spans="1:11" x14ac:dyDescent="0.2">
      <c r="A189" s="21">
        <v>44561</v>
      </c>
      <c r="B189" s="29">
        <v>5900</v>
      </c>
      <c r="C189" s="29">
        <v>141888</v>
      </c>
      <c r="D189" s="29">
        <v>1415</v>
      </c>
      <c r="E189" s="29">
        <v>30273</v>
      </c>
      <c r="F189" s="22">
        <f t="shared" si="15"/>
        <v>179476</v>
      </c>
      <c r="H189" s="9">
        <v>2165462.6</v>
      </c>
      <c r="I189" s="9">
        <f t="shared" si="16"/>
        <v>15054245.499999998</v>
      </c>
      <c r="J189" s="24"/>
      <c r="K189" s="23">
        <f t="shared" si="17"/>
        <v>179400.83333333334</v>
      </c>
    </row>
    <row r="190" spans="1:11" x14ac:dyDescent="0.2">
      <c r="A190" s="21">
        <v>44592</v>
      </c>
      <c r="B190" s="22">
        <v>6638</v>
      </c>
      <c r="C190" s="22">
        <v>142999</v>
      </c>
      <c r="D190" s="22">
        <v>1441</v>
      </c>
      <c r="E190" s="22">
        <v>30206</v>
      </c>
      <c r="F190" s="22">
        <f t="shared" si="15"/>
        <v>181284</v>
      </c>
      <c r="H190" s="30">
        <v>3062032.6</v>
      </c>
      <c r="I190" s="9">
        <f t="shared" si="16"/>
        <v>15384049.5</v>
      </c>
      <c r="J190" s="24"/>
      <c r="K190" s="23">
        <f t="shared" si="17"/>
        <v>179874.5</v>
      </c>
    </row>
    <row r="191" spans="1:11" x14ac:dyDescent="0.2">
      <c r="A191" s="21">
        <v>44620</v>
      </c>
      <c r="B191" s="22">
        <v>7058</v>
      </c>
      <c r="C191" s="22">
        <v>141988</v>
      </c>
      <c r="D191" s="22">
        <v>1465</v>
      </c>
      <c r="E191" s="22">
        <v>30416</v>
      </c>
      <c r="F191" s="22">
        <f t="shared" si="15"/>
        <v>180927</v>
      </c>
      <c r="H191" s="30">
        <v>3144075.3</v>
      </c>
      <c r="I191" s="9">
        <f t="shared" si="16"/>
        <v>15359194.300000001</v>
      </c>
      <c r="J191" s="24"/>
      <c r="K191" s="23">
        <f t="shared" si="17"/>
        <v>179523.91666666666</v>
      </c>
    </row>
    <row r="192" spans="1:11" x14ac:dyDescent="0.2">
      <c r="A192" s="21">
        <v>44651</v>
      </c>
      <c r="B192" s="22">
        <v>6885</v>
      </c>
      <c r="C192" s="22">
        <v>133378</v>
      </c>
      <c r="D192" s="22">
        <v>1364</v>
      </c>
      <c r="E192" s="22">
        <v>28058</v>
      </c>
      <c r="F192" s="22">
        <f t="shared" si="15"/>
        <v>169685</v>
      </c>
      <c r="H192" s="30">
        <v>2199291.2999999998</v>
      </c>
      <c r="I192" s="9">
        <f t="shared" si="16"/>
        <v>15456047.5</v>
      </c>
      <c r="J192" s="24"/>
      <c r="K192" s="23">
        <f t="shared" si="17"/>
        <v>179496.25</v>
      </c>
    </row>
    <row r="193" spans="1:17" x14ac:dyDescent="0.2">
      <c r="A193" s="21">
        <v>44681</v>
      </c>
      <c r="B193" s="22">
        <v>7862</v>
      </c>
      <c r="C193" s="22">
        <v>149899</v>
      </c>
      <c r="D193" s="22">
        <v>1571</v>
      </c>
      <c r="E193" s="22">
        <v>31120</v>
      </c>
      <c r="F193" s="22">
        <f t="shared" si="15"/>
        <v>190452</v>
      </c>
      <c r="H193" s="30">
        <v>1682864.4</v>
      </c>
      <c r="I193" s="9">
        <f t="shared" si="16"/>
        <v>15855913.9</v>
      </c>
      <c r="J193" s="24"/>
      <c r="K193" s="23">
        <f t="shared" si="17"/>
        <v>180430.41666666666</v>
      </c>
    </row>
    <row r="194" spans="1:17" x14ac:dyDescent="0.2">
      <c r="A194" s="21">
        <v>44712</v>
      </c>
      <c r="B194" s="22">
        <v>7272</v>
      </c>
      <c r="C194" s="22">
        <v>141328</v>
      </c>
      <c r="D194" s="22">
        <v>1524</v>
      </c>
      <c r="E194" s="22">
        <v>30239</v>
      </c>
      <c r="F194" s="22">
        <f t="shared" si="15"/>
        <v>180363</v>
      </c>
      <c r="H194" s="30">
        <v>780625.4</v>
      </c>
      <c r="I194" s="9">
        <f t="shared" si="16"/>
        <v>15756172.700000003</v>
      </c>
      <c r="J194" s="24"/>
      <c r="K194" s="23">
        <f t="shared" si="17"/>
        <v>180399</v>
      </c>
    </row>
    <row r="195" spans="1:17" x14ac:dyDescent="0.2">
      <c r="A195" s="21">
        <v>44742</v>
      </c>
      <c r="B195" s="22">
        <v>7338</v>
      </c>
      <c r="C195" s="22">
        <v>148781</v>
      </c>
      <c r="D195" s="22">
        <v>1541</v>
      </c>
      <c r="E195" s="22">
        <v>30413</v>
      </c>
      <c r="F195" s="22">
        <f t="shared" si="15"/>
        <v>188073</v>
      </c>
      <c r="H195" s="30">
        <v>283622.40000000002</v>
      </c>
      <c r="I195" s="9">
        <f t="shared" si="16"/>
        <v>15653961.500000002</v>
      </c>
      <c r="J195" s="24"/>
      <c r="K195" s="23">
        <f t="shared" si="17"/>
        <v>181060.75</v>
      </c>
    </row>
    <row r="196" spans="1:17" x14ac:dyDescent="0.2">
      <c r="A196" s="21">
        <v>44773</v>
      </c>
      <c r="B196" s="22">
        <v>7211</v>
      </c>
      <c r="C196" s="22">
        <v>150716</v>
      </c>
      <c r="D196" s="22">
        <v>1701</v>
      </c>
      <c r="E196" s="22">
        <v>33101</v>
      </c>
      <c r="F196" s="22">
        <f t="shared" si="15"/>
        <v>192729</v>
      </c>
      <c r="H196" s="30">
        <v>255561.3</v>
      </c>
      <c r="I196" s="9">
        <f t="shared" si="16"/>
        <v>15657168.900000004</v>
      </c>
      <c r="J196" s="24"/>
      <c r="K196" s="23">
        <f t="shared" si="17"/>
        <v>181753.66666666666</v>
      </c>
    </row>
    <row r="197" spans="1:17" x14ac:dyDescent="0.2">
      <c r="A197" s="21">
        <v>44804</v>
      </c>
      <c r="B197" s="22">
        <v>6952</v>
      </c>
      <c r="C197" s="22">
        <v>149567</v>
      </c>
      <c r="D197" s="22">
        <v>1731</v>
      </c>
      <c r="E197" s="22">
        <v>32861</v>
      </c>
      <c r="F197" s="22">
        <f t="shared" si="15"/>
        <v>191111</v>
      </c>
      <c r="H197" s="30">
        <v>222895.9</v>
      </c>
      <c r="I197" s="9">
        <f t="shared" si="16"/>
        <v>15641820.600000001</v>
      </c>
      <c r="J197" s="24"/>
      <c r="K197" s="23">
        <f t="shared" si="17"/>
        <v>182217.58333333334</v>
      </c>
      <c r="M197" s="31"/>
      <c r="N197" s="31"/>
      <c r="O197" s="31"/>
      <c r="P197" s="31"/>
      <c r="Q197" s="31"/>
    </row>
    <row r="198" spans="1:17" x14ac:dyDescent="0.2">
      <c r="A198" s="21">
        <v>44834</v>
      </c>
      <c r="B198" s="22">
        <v>7001</v>
      </c>
      <c r="C198" s="22">
        <v>153496</v>
      </c>
      <c r="D198" s="22">
        <v>1730</v>
      </c>
      <c r="E198" s="22">
        <v>32650</v>
      </c>
      <c r="F198" s="22">
        <f t="shared" si="15"/>
        <v>194877</v>
      </c>
      <c r="H198" s="30">
        <v>274838.2</v>
      </c>
      <c r="I198" s="9">
        <f t="shared" si="16"/>
        <v>15657392.200000003</v>
      </c>
      <c r="J198" s="24"/>
      <c r="K198" s="23">
        <f t="shared" si="17"/>
        <v>182887.58333333334</v>
      </c>
      <c r="M198" s="31"/>
      <c r="N198" s="31"/>
      <c r="O198" s="31"/>
      <c r="P198" s="31"/>
      <c r="Q198" s="31"/>
    </row>
    <row r="199" spans="1:17" x14ac:dyDescent="0.2">
      <c r="A199" s="21">
        <v>44865</v>
      </c>
      <c r="B199" s="22">
        <v>6349</v>
      </c>
      <c r="C199" s="22">
        <v>147383</v>
      </c>
      <c r="D199" s="22">
        <v>1723</v>
      </c>
      <c r="E199" s="22">
        <v>32617</v>
      </c>
      <c r="F199" s="22">
        <f t="shared" si="15"/>
        <v>188072</v>
      </c>
      <c r="H199" s="30">
        <v>722400.1</v>
      </c>
      <c r="I199" s="9">
        <f>SUM(H188:H199)</f>
        <v>16002053.000000002</v>
      </c>
      <c r="J199" s="24"/>
      <c r="K199" s="23">
        <f t="shared" si="17"/>
        <v>183827.33333333334</v>
      </c>
      <c r="M199" s="31"/>
      <c r="N199" s="31"/>
      <c r="O199" s="31"/>
      <c r="P199" s="31"/>
      <c r="Q199" s="31"/>
    </row>
    <row r="200" spans="1:17" x14ac:dyDescent="0.2">
      <c r="A200" s="21">
        <v>44895</v>
      </c>
      <c r="B200" s="22">
        <v>6396</v>
      </c>
      <c r="C200" s="22">
        <v>145452</v>
      </c>
      <c r="D200" s="22">
        <v>1749</v>
      </c>
      <c r="E200" s="22">
        <v>32703</v>
      </c>
      <c r="F200" s="22">
        <f t="shared" si="15"/>
        <v>186300</v>
      </c>
      <c r="H200" s="9">
        <v>1289927.3</v>
      </c>
      <c r="I200" s="9">
        <f t="shared" ref="I200:I210" si="18">SUM(H189:H200)</f>
        <v>16083596.800000003</v>
      </c>
      <c r="J200" s="24"/>
      <c r="K200" s="23">
        <f t="shared" ref="K200:K211" si="19">AVERAGE(F189:F200)</f>
        <v>185279.08333333334</v>
      </c>
      <c r="M200" s="31"/>
      <c r="N200" s="31"/>
      <c r="O200" s="31"/>
      <c r="P200" s="31"/>
      <c r="Q200" s="31"/>
    </row>
    <row r="201" spans="1:17" x14ac:dyDescent="0.2">
      <c r="A201" s="21">
        <v>44926</v>
      </c>
      <c r="B201" s="22">
        <v>7051</v>
      </c>
      <c r="C201" s="22">
        <v>150730</v>
      </c>
      <c r="D201" s="22">
        <v>1659</v>
      </c>
      <c r="E201" s="22">
        <v>30879</v>
      </c>
      <c r="F201" s="22">
        <f t="shared" si="15"/>
        <v>190319</v>
      </c>
      <c r="H201" s="9">
        <v>2519587.1</v>
      </c>
      <c r="I201" s="9">
        <f t="shared" si="18"/>
        <v>16437721.300000001</v>
      </c>
      <c r="J201" s="24"/>
      <c r="K201" s="23">
        <f t="shared" si="19"/>
        <v>186182.66666666666</v>
      </c>
      <c r="M201" s="31"/>
      <c r="N201" s="31"/>
      <c r="O201" s="31"/>
      <c r="P201" s="31"/>
      <c r="Q201" s="31"/>
    </row>
    <row r="202" spans="1:17" x14ac:dyDescent="0.2">
      <c r="A202" s="21">
        <v>44957</v>
      </c>
      <c r="B202" s="22">
        <v>7891</v>
      </c>
      <c r="C202" s="22">
        <v>158935</v>
      </c>
      <c r="D202" s="22">
        <v>1673</v>
      </c>
      <c r="E202" s="22">
        <v>31482</v>
      </c>
      <c r="F202" s="23">
        <f t="shared" si="15"/>
        <v>199981</v>
      </c>
      <c r="H202" s="9">
        <v>2966488.7</v>
      </c>
      <c r="I202" s="9">
        <f t="shared" si="18"/>
        <v>16342177.399999999</v>
      </c>
      <c r="J202" s="24"/>
      <c r="K202" s="23">
        <f t="shared" si="19"/>
        <v>187740.75</v>
      </c>
      <c r="M202" s="31"/>
      <c r="N202" s="31"/>
      <c r="O202" s="31"/>
      <c r="P202" s="31"/>
      <c r="Q202" s="31"/>
    </row>
    <row r="203" spans="1:17" x14ac:dyDescent="0.2">
      <c r="A203" s="21">
        <v>44985</v>
      </c>
      <c r="B203" s="22">
        <v>8391</v>
      </c>
      <c r="C203" s="22">
        <v>160495</v>
      </c>
      <c r="D203" s="22">
        <v>1709</v>
      </c>
      <c r="E203" s="22">
        <v>31764</v>
      </c>
      <c r="F203" s="23">
        <f t="shared" si="15"/>
        <v>202359</v>
      </c>
      <c r="H203" s="9">
        <v>2696623.5</v>
      </c>
      <c r="I203" s="9">
        <f t="shared" si="18"/>
        <v>15894725.600000001</v>
      </c>
      <c r="J203" s="24"/>
      <c r="K203" s="23">
        <f t="shared" si="19"/>
        <v>189526.75</v>
      </c>
      <c r="M203" s="31"/>
      <c r="N203" s="31"/>
      <c r="O203" s="31"/>
      <c r="P203" s="31"/>
      <c r="Q203" s="31"/>
    </row>
    <row r="204" spans="1:17" x14ac:dyDescent="0.2">
      <c r="A204" s="21">
        <v>45016</v>
      </c>
      <c r="B204" s="22">
        <v>8520</v>
      </c>
      <c r="C204" s="22">
        <v>162943</v>
      </c>
      <c r="D204" s="22">
        <v>1677</v>
      </c>
      <c r="E204" s="22">
        <v>31199</v>
      </c>
      <c r="F204" s="23">
        <f t="shared" si="15"/>
        <v>204339</v>
      </c>
      <c r="H204" s="9">
        <v>2408130</v>
      </c>
      <c r="I204" s="9">
        <f t="shared" si="18"/>
        <v>16103564.300000001</v>
      </c>
      <c r="J204" s="24"/>
      <c r="K204" s="23">
        <f t="shared" si="19"/>
        <v>192414.58333333334</v>
      </c>
      <c r="M204" s="31"/>
      <c r="N204" s="31"/>
      <c r="O204" s="31"/>
      <c r="P204" s="31"/>
      <c r="Q204" s="31"/>
    </row>
    <row r="205" spans="1:17" x14ac:dyDescent="0.2">
      <c r="A205" s="21">
        <v>45046</v>
      </c>
      <c r="B205" s="22">
        <v>8959</v>
      </c>
      <c r="C205" s="22">
        <v>174968</v>
      </c>
      <c r="D205" s="22">
        <v>1777</v>
      </c>
      <c r="E205" s="22">
        <v>33014</v>
      </c>
      <c r="F205" s="23">
        <f t="shared" si="15"/>
        <v>218718</v>
      </c>
      <c r="H205" s="9">
        <v>1694767</v>
      </c>
      <c r="I205" s="9">
        <f t="shared" si="18"/>
        <v>16115466.899999999</v>
      </c>
      <c r="J205" s="24"/>
      <c r="K205" s="23">
        <f t="shared" si="19"/>
        <v>194770.08333333334</v>
      </c>
      <c r="M205" s="31"/>
      <c r="N205" s="31"/>
      <c r="O205" s="31"/>
      <c r="P205" s="31"/>
      <c r="Q205" s="31"/>
    </row>
    <row r="206" spans="1:17" x14ac:dyDescent="0.2">
      <c r="A206" s="21">
        <v>45077</v>
      </c>
      <c r="B206" s="22">
        <v>8718</v>
      </c>
      <c r="C206" s="22">
        <v>170480</v>
      </c>
      <c r="D206" s="22">
        <v>1736</v>
      </c>
      <c r="E206" s="22">
        <v>32321</v>
      </c>
      <c r="F206" s="23">
        <f t="shared" si="15"/>
        <v>213255</v>
      </c>
      <c r="H206" s="9">
        <v>937270.9</v>
      </c>
      <c r="I206" s="9">
        <f t="shared" si="18"/>
        <v>16272112.4</v>
      </c>
      <c r="J206" s="24"/>
      <c r="K206" s="23">
        <f t="shared" si="19"/>
        <v>197511.08333333334</v>
      </c>
      <c r="M206" s="31"/>
      <c r="N206" s="31"/>
      <c r="O206" s="31"/>
      <c r="P206" s="31"/>
      <c r="Q206" s="31"/>
    </row>
    <row r="207" spans="1:17" x14ac:dyDescent="0.2">
      <c r="A207" s="21">
        <v>45107</v>
      </c>
      <c r="B207" s="22">
        <v>8072</v>
      </c>
      <c r="C207" s="22">
        <v>164493</v>
      </c>
      <c r="D207" s="22">
        <v>1713</v>
      </c>
      <c r="E207" s="22">
        <v>32099</v>
      </c>
      <c r="F207" s="23">
        <f t="shared" si="15"/>
        <v>206377</v>
      </c>
      <c r="H207" s="9">
        <v>385823.7</v>
      </c>
      <c r="I207" s="9">
        <f t="shared" si="18"/>
        <v>16374313.700000001</v>
      </c>
      <c r="J207" s="24"/>
      <c r="K207" s="23">
        <f t="shared" si="19"/>
        <v>199036.41666666666</v>
      </c>
      <c r="M207" s="31"/>
      <c r="N207" s="31"/>
      <c r="O207" s="31"/>
      <c r="P207" s="31"/>
      <c r="Q207" s="31"/>
    </row>
    <row r="208" spans="1:17" x14ac:dyDescent="0.2">
      <c r="A208" s="21">
        <v>45138</v>
      </c>
      <c r="B208" s="22">
        <v>7622</v>
      </c>
      <c r="C208" s="22">
        <v>161252</v>
      </c>
      <c r="D208" s="22">
        <v>1709</v>
      </c>
      <c r="E208" s="22">
        <v>31872</v>
      </c>
      <c r="F208" s="23">
        <f t="shared" si="15"/>
        <v>202455</v>
      </c>
      <c r="H208" s="9">
        <v>277059.5</v>
      </c>
      <c r="I208" s="9">
        <f t="shared" si="18"/>
        <v>16395811.9</v>
      </c>
      <c r="J208" s="24"/>
      <c r="K208" s="23">
        <f t="shared" si="19"/>
        <v>199846.91666666666</v>
      </c>
      <c r="M208" s="31"/>
      <c r="N208" s="31"/>
      <c r="O208" s="31"/>
      <c r="P208" s="31"/>
      <c r="Q208" s="31"/>
    </row>
    <row r="209" spans="1:17" x14ac:dyDescent="0.2">
      <c r="A209" s="21">
        <v>45169</v>
      </c>
      <c r="B209" s="22">
        <v>8036</v>
      </c>
      <c r="C209" s="22">
        <v>171961</v>
      </c>
      <c r="D209" s="22">
        <v>1701</v>
      </c>
      <c r="E209" s="22">
        <v>31696</v>
      </c>
      <c r="F209" s="23">
        <f t="shared" si="15"/>
        <v>213394</v>
      </c>
      <c r="H209" s="9">
        <v>264327</v>
      </c>
      <c r="I209" s="9">
        <f t="shared" si="18"/>
        <v>16437243</v>
      </c>
      <c r="J209" s="24"/>
      <c r="K209" s="23">
        <f t="shared" si="19"/>
        <v>201703.83333333334</v>
      </c>
      <c r="M209" s="31"/>
      <c r="N209" s="31"/>
      <c r="O209" s="31"/>
      <c r="P209" s="31"/>
      <c r="Q209" s="31"/>
    </row>
    <row r="210" spans="1:17" x14ac:dyDescent="0.2">
      <c r="A210" s="21">
        <v>45199</v>
      </c>
      <c r="B210" s="22">
        <v>8097</v>
      </c>
      <c r="C210" s="22">
        <v>173499</v>
      </c>
      <c r="D210" s="22">
        <v>1688</v>
      </c>
      <c r="E210" s="22">
        <v>31537</v>
      </c>
      <c r="F210" s="23">
        <f t="shared" si="15"/>
        <v>214821</v>
      </c>
      <c r="H210" s="9">
        <v>320053.8</v>
      </c>
      <c r="I210" s="9">
        <f t="shared" si="18"/>
        <v>16482458.6</v>
      </c>
      <c r="J210" s="24"/>
      <c r="K210" s="23">
        <f t="shared" si="19"/>
        <v>203365.83333333334</v>
      </c>
      <c r="M210" s="31"/>
      <c r="N210" s="31"/>
      <c r="O210" s="31"/>
      <c r="P210" s="31"/>
      <c r="Q210" s="31"/>
    </row>
    <row r="211" spans="1:17" x14ac:dyDescent="0.2">
      <c r="A211" s="21">
        <v>45230</v>
      </c>
      <c r="B211" s="22">
        <v>7335</v>
      </c>
      <c r="C211" s="22">
        <v>162149</v>
      </c>
      <c r="D211" s="22">
        <v>1682</v>
      </c>
      <c r="E211" s="22">
        <v>31530</v>
      </c>
      <c r="F211" s="23">
        <f t="shared" si="15"/>
        <v>202696</v>
      </c>
      <c r="H211" s="9">
        <v>585535.69999999995</v>
      </c>
      <c r="I211" s="9">
        <f>SUM(H200:H211)</f>
        <v>16345594.200000001</v>
      </c>
      <c r="J211" s="24"/>
      <c r="K211" s="23">
        <f t="shared" si="19"/>
        <v>204584.5</v>
      </c>
      <c r="O211" s="31"/>
    </row>
    <row r="212" spans="1:17" x14ac:dyDescent="0.2">
      <c r="A212" s="21">
        <v>45260</v>
      </c>
      <c r="B212" s="22">
        <v>7217</v>
      </c>
      <c r="C212" s="22">
        <v>158306</v>
      </c>
      <c r="D212" s="22">
        <v>1703</v>
      </c>
      <c r="E212" s="22">
        <v>31710</v>
      </c>
      <c r="F212" s="23">
        <f t="shared" si="15"/>
        <v>198936</v>
      </c>
      <c r="H212" s="9">
        <v>1493217.8</v>
      </c>
      <c r="I212" s="9">
        <f t="shared" ref="I212" si="20">SUM(H201:H212)</f>
        <v>16548884.700000001</v>
      </c>
      <c r="J212" s="24"/>
      <c r="K212" s="23">
        <f t="shared" ref="K212:K213" si="21">AVERAGE(F201:F212)</f>
        <v>205637.5</v>
      </c>
    </row>
    <row r="213" spans="1:17" x14ac:dyDescent="0.2">
      <c r="A213" s="21">
        <v>45291</v>
      </c>
      <c r="B213" s="22">
        <v>7491</v>
      </c>
      <c r="C213" s="22">
        <v>152334</v>
      </c>
      <c r="D213" s="22">
        <v>1750</v>
      </c>
      <c r="E213" s="22">
        <v>32206</v>
      </c>
      <c r="F213" s="23">
        <f t="shared" si="15"/>
        <v>193781</v>
      </c>
      <c r="H213" s="9">
        <v>2240199.1</v>
      </c>
      <c r="I213" s="9">
        <f>SUM(H202:H213)</f>
        <v>16269496.699999999</v>
      </c>
      <c r="J213" s="24"/>
      <c r="K213" s="23">
        <f t="shared" si="21"/>
        <v>205926</v>
      </c>
    </row>
    <row r="214" spans="1:17" x14ac:dyDescent="0.2">
      <c r="A214" s="21">
        <v>45322</v>
      </c>
      <c r="B214" s="22">
        <v>8168</v>
      </c>
      <c r="C214" s="22">
        <v>159215</v>
      </c>
      <c r="D214" s="22">
        <v>1759</v>
      </c>
      <c r="E214" s="22">
        <v>32201</v>
      </c>
      <c r="F214" s="23">
        <f t="shared" si="15"/>
        <v>201343</v>
      </c>
      <c r="H214" s="9">
        <v>3029182.1</v>
      </c>
      <c r="I214" s="9">
        <f t="shared" ref="I214:I222" si="22">SUM(H203:H214)</f>
        <v>16332190.100000001</v>
      </c>
      <c r="J214" s="24"/>
      <c r="K214" s="23">
        <f t="shared" ref="K214:K222" si="23">AVERAGE(F203:F214)</f>
        <v>206039.5</v>
      </c>
    </row>
    <row r="215" spans="1:17" x14ac:dyDescent="0.2">
      <c r="A215" s="21">
        <v>45351</v>
      </c>
      <c r="B215" s="22">
        <v>8568</v>
      </c>
      <c r="C215" s="22">
        <v>159512</v>
      </c>
      <c r="D215" s="22">
        <v>1802</v>
      </c>
      <c r="E215" s="22">
        <v>32434</v>
      </c>
      <c r="F215" s="23">
        <f t="shared" si="15"/>
        <v>202316</v>
      </c>
      <c r="H215" s="9">
        <v>2636748.7999999998</v>
      </c>
      <c r="I215" s="9">
        <f t="shared" si="22"/>
        <v>16272315.399999999</v>
      </c>
      <c r="J215" s="24"/>
      <c r="K215" s="23">
        <f t="shared" si="23"/>
        <v>206035.91666666666</v>
      </c>
    </row>
    <row r="216" spans="1:17" x14ac:dyDescent="0.2">
      <c r="A216" s="21">
        <v>45382</v>
      </c>
      <c r="B216" s="22">
        <v>9212</v>
      </c>
      <c r="C216" s="22">
        <v>168499</v>
      </c>
      <c r="D216" s="22">
        <v>1887</v>
      </c>
      <c r="E216" s="22">
        <v>33921</v>
      </c>
      <c r="F216" s="23">
        <f t="shared" si="15"/>
        <v>213519</v>
      </c>
      <c r="H216" s="9">
        <v>2052246.1</v>
      </c>
      <c r="I216" s="9">
        <f t="shared" si="22"/>
        <v>15916431.499999998</v>
      </c>
      <c r="J216" s="24"/>
      <c r="K216" s="23">
        <f t="shared" si="23"/>
        <v>206800.91666666666</v>
      </c>
    </row>
    <row r="217" spans="1:17" x14ac:dyDescent="0.2">
      <c r="A217" s="21">
        <v>45412</v>
      </c>
      <c r="B217" s="22">
        <v>8884</v>
      </c>
      <c r="C217" s="22">
        <v>161376</v>
      </c>
      <c r="D217" s="22">
        <v>1935</v>
      </c>
      <c r="E217" s="22">
        <v>34424</v>
      </c>
      <c r="F217" s="23">
        <f t="shared" si="15"/>
        <v>206619</v>
      </c>
      <c r="H217" s="9">
        <v>1619215.7</v>
      </c>
      <c r="I217" s="9">
        <f t="shared" si="22"/>
        <v>15840880.199999997</v>
      </c>
      <c r="J217" s="24"/>
      <c r="K217" s="23">
        <f t="shared" si="23"/>
        <v>205792.66666666666</v>
      </c>
    </row>
    <row r="218" spans="1:17" x14ac:dyDescent="0.2">
      <c r="A218" s="21">
        <v>45443</v>
      </c>
      <c r="B218" s="22">
        <v>7973</v>
      </c>
      <c r="C218" s="22">
        <v>148446</v>
      </c>
      <c r="D218" s="22">
        <v>1889</v>
      </c>
      <c r="E218" s="22">
        <v>33564</v>
      </c>
      <c r="F218" s="23">
        <f t="shared" si="15"/>
        <v>191872</v>
      </c>
      <c r="H218" s="9">
        <v>539724.9</v>
      </c>
      <c r="I218" s="9">
        <f t="shared" si="22"/>
        <v>15443334.199999999</v>
      </c>
      <c r="J218" s="24"/>
      <c r="K218" s="23">
        <f t="shared" si="23"/>
        <v>204010.75</v>
      </c>
    </row>
    <row r="219" spans="1:17" x14ac:dyDescent="0.2">
      <c r="A219" s="21">
        <v>45473</v>
      </c>
      <c r="B219" s="22">
        <v>7591</v>
      </c>
      <c r="C219" s="22">
        <v>147182</v>
      </c>
      <c r="D219" s="22">
        <v>1874</v>
      </c>
      <c r="E219" s="22">
        <v>33285</v>
      </c>
      <c r="F219" s="23">
        <f t="shared" si="15"/>
        <v>189932</v>
      </c>
      <c r="H219" s="9">
        <v>299782.5</v>
      </c>
      <c r="I219" s="9">
        <f t="shared" si="22"/>
        <v>15357293</v>
      </c>
      <c r="J219" s="24"/>
      <c r="K219" s="23">
        <f t="shared" si="23"/>
        <v>202640.33333333334</v>
      </c>
    </row>
    <row r="220" spans="1:17" x14ac:dyDescent="0.2">
      <c r="A220" s="21">
        <v>45504</v>
      </c>
      <c r="B220" s="22">
        <v>7594</v>
      </c>
      <c r="C220" s="22">
        <v>147863</v>
      </c>
      <c r="D220" s="22">
        <v>1880</v>
      </c>
      <c r="E220" s="22">
        <v>33159</v>
      </c>
      <c r="F220" s="23">
        <f t="shared" si="15"/>
        <v>190496</v>
      </c>
      <c r="H220" s="9">
        <v>264151.8</v>
      </c>
      <c r="I220" s="9">
        <f t="shared" si="22"/>
        <v>15344385.300000001</v>
      </c>
      <c r="J220" s="24"/>
      <c r="K220" s="23">
        <f t="shared" si="23"/>
        <v>201643.75</v>
      </c>
    </row>
    <row r="221" spans="1:17" x14ac:dyDescent="0.2">
      <c r="A221" s="21">
        <v>45535</v>
      </c>
      <c r="B221" s="22">
        <v>7579</v>
      </c>
      <c r="C221" s="22">
        <v>150073</v>
      </c>
      <c r="D221" s="22">
        <v>1866</v>
      </c>
      <c r="E221" s="22">
        <v>32871</v>
      </c>
      <c r="F221" s="23">
        <f t="shared" si="15"/>
        <v>192389</v>
      </c>
      <c r="H221" s="9">
        <v>238285.8</v>
      </c>
      <c r="I221" s="9">
        <f t="shared" si="22"/>
        <v>15318344.100000001</v>
      </c>
      <c r="J221" s="24"/>
      <c r="K221" s="23">
        <f t="shared" si="23"/>
        <v>199893.33333333334</v>
      </c>
    </row>
    <row r="222" spans="1:17" x14ac:dyDescent="0.2">
      <c r="A222" s="21">
        <v>45565</v>
      </c>
      <c r="B222" s="22">
        <v>7503</v>
      </c>
      <c r="C222" s="22">
        <v>151548</v>
      </c>
      <c r="D222" s="22">
        <v>1873</v>
      </c>
      <c r="E222" s="22">
        <v>32855</v>
      </c>
      <c r="F222" s="23">
        <f t="shared" si="15"/>
        <v>193779</v>
      </c>
      <c r="H222" s="9">
        <v>278964.7</v>
      </c>
      <c r="I222" s="10">
        <f t="shared" si="22"/>
        <v>15277255</v>
      </c>
      <c r="J222" s="24"/>
      <c r="K222" s="23">
        <f t="shared" si="23"/>
        <v>198139.83333333334</v>
      </c>
    </row>
    <row r="223" spans="1:17" x14ac:dyDescent="0.2">
      <c r="A223" s="21">
        <v>45596</v>
      </c>
      <c r="B223" s="22"/>
      <c r="C223" s="22"/>
      <c r="D223" s="22"/>
      <c r="E223" s="22"/>
      <c r="F223" s="23"/>
      <c r="J223" s="24"/>
      <c r="K223" s="23"/>
    </row>
    <row r="224" spans="1:17" x14ac:dyDescent="0.2">
      <c r="A224" s="21">
        <v>45626</v>
      </c>
      <c r="B224" s="22"/>
      <c r="C224" s="22"/>
      <c r="D224" s="22"/>
      <c r="E224" s="22"/>
      <c r="F224" s="23"/>
      <c r="J224" s="24"/>
      <c r="K224" s="23"/>
    </row>
    <row r="225" spans="1:11" x14ac:dyDescent="0.2">
      <c r="A225" s="21">
        <v>45657</v>
      </c>
      <c r="B225" s="22"/>
      <c r="C225" s="22"/>
      <c r="D225" s="22"/>
      <c r="E225" s="22"/>
      <c r="F225" s="23"/>
      <c r="J225" s="24"/>
      <c r="K225" s="23"/>
    </row>
    <row r="226" spans="1:11" x14ac:dyDescent="0.2">
      <c r="A226" s="21"/>
      <c r="B226" s="22"/>
      <c r="C226" s="22"/>
      <c r="D226" s="22"/>
      <c r="E226" s="22"/>
      <c r="F226" s="23"/>
      <c r="J226" s="24"/>
      <c r="K226" s="23"/>
    </row>
    <row r="227" spans="1:11" x14ac:dyDescent="0.2">
      <c r="A227" s="2" t="s">
        <v>37</v>
      </c>
      <c r="B227" s="7">
        <f>AVERAGE(B211:B222)</f>
        <v>7926.25</v>
      </c>
      <c r="C227" s="7">
        <f t="shared" ref="C227:E227" si="24">AVERAGE(C211:C222)</f>
        <v>155541.91666666666</v>
      </c>
      <c r="D227" s="7">
        <f t="shared" si="24"/>
        <v>1825</v>
      </c>
      <c r="E227" s="7">
        <f t="shared" si="24"/>
        <v>32846.666666666664</v>
      </c>
      <c r="F227" s="7">
        <f>SUM(B227:E227)</f>
        <v>198139.83333333331</v>
      </c>
    </row>
  </sheetData>
  <mergeCells count="2">
    <mergeCell ref="B5:C5"/>
    <mergeCell ref="D5:E5"/>
  </mergeCells>
  <phoneticPr fontId="0" type="noConversion"/>
  <pageMargins left="0.75" right="0.75" top="1" bottom="1" header="0.5" footer="0.5"/>
  <pageSetup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40"/>
  <sheetViews>
    <sheetView workbookViewId="0"/>
  </sheetViews>
  <sheetFormatPr defaultColWidth="9.33203125" defaultRowHeight="12.75" x14ac:dyDescent="0.2"/>
  <cols>
    <col min="1" max="1" width="17.83203125" style="2" customWidth="1"/>
    <col min="2" max="2" width="9.33203125" style="2"/>
    <col min="3" max="13" width="7.1640625" style="2" customWidth="1"/>
    <col min="14" max="16384" width="9.33203125" style="2"/>
  </cols>
  <sheetData>
    <row r="1" spans="1:13" ht="18" x14ac:dyDescent="0.25">
      <c r="A1" s="1" t="s">
        <v>23</v>
      </c>
    </row>
    <row r="2" spans="1:13" ht="18" x14ac:dyDescent="0.25">
      <c r="A2" s="1" t="s">
        <v>50</v>
      </c>
      <c r="M2" s="3"/>
    </row>
    <row r="4" spans="1:13" x14ac:dyDescent="0.2">
      <c r="A4" s="4" t="s">
        <v>13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</row>
    <row r="5" spans="1:13" x14ac:dyDescent="0.2">
      <c r="A5" s="6">
        <v>1</v>
      </c>
      <c r="B5" s="7">
        <v>31</v>
      </c>
      <c r="C5" s="7">
        <v>35</v>
      </c>
      <c r="D5" s="7">
        <v>32</v>
      </c>
      <c r="E5" s="7">
        <v>20</v>
      </c>
      <c r="F5" s="7">
        <v>9</v>
      </c>
      <c r="G5" s="7">
        <v>4</v>
      </c>
      <c r="H5" s="7">
        <v>0</v>
      </c>
      <c r="I5" s="7">
        <v>0</v>
      </c>
      <c r="J5" s="7">
        <v>0</v>
      </c>
      <c r="K5" s="7">
        <v>5</v>
      </c>
      <c r="L5" s="7">
        <v>18</v>
      </c>
      <c r="M5" s="7">
        <v>24</v>
      </c>
    </row>
    <row r="6" spans="1:13" x14ac:dyDescent="0.2">
      <c r="A6" s="5">
        <v>2</v>
      </c>
      <c r="B6" s="7">
        <v>34</v>
      </c>
      <c r="C6" s="7">
        <v>36</v>
      </c>
      <c r="D6" s="7">
        <v>33</v>
      </c>
      <c r="E6" s="7">
        <v>21</v>
      </c>
      <c r="F6" s="7">
        <v>10</v>
      </c>
      <c r="G6" s="7">
        <v>2</v>
      </c>
      <c r="H6" s="7">
        <v>0</v>
      </c>
      <c r="I6" s="7">
        <v>0</v>
      </c>
      <c r="J6" s="7">
        <v>0</v>
      </c>
      <c r="K6" s="7">
        <v>4</v>
      </c>
      <c r="L6" s="7">
        <v>17</v>
      </c>
      <c r="M6" s="7">
        <v>24</v>
      </c>
    </row>
    <row r="7" spans="1:13" x14ac:dyDescent="0.2">
      <c r="A7" s="5">
        <v>3</v>
      </c>
      <c r="B7" s="7">
        <v>34</v>
      </c>
      <c r="C7" s="7">
        <v>35</v>
      </c>
      <c r="D7" s="7">
        <v>33</v>
      </c>
      <c r="E7" s="7">
        <v>19</v>
      </c>
      <c r="F7" s="7">
        <v>9</v>
      </c>
      <c r="G7" s="7">
        <v>3</v>
      </c>
      <c r="H7" s="7">
        <v>0</v>
      </c>
      <c r="I7" s="7">
        <v>0</v>
      </c>
      <c r="J7" s="7">
        <v>0</v>
      </c>
      <c r="K7" s="7">
        <v>5</v>
      </c>
      <c r="L7" s="7">
        <v>18</v>
      </c>
      <c r="M7" s="7">
        <v>26</v>
      </c>
    </row>
    <row r="8" spans="1:13" x14ac:dyDescent="0.2">
      <c r="A8" s="5">
        <v>4</v>
      </c>
      <c r="B8" s="7">
        <v>32</v>
      </c>
      <c r="C8" s="7">
        <v>35</v>
      </c>
      <c r="D8" s="7">
        <v>34</v>
      </c>
      <c r="E8" s="7">
        <v>17</v>
      </c>
      <c r="F8" s="7">
        <v>11</v>
      </c>
      <c r="G8" s="7">
        <v>3</v>
      </c>
      <c r="H8" s="7">
        <v>0</v>
      </c>
      <c r="I8" s="7">
        <v>0</v>
      </c>
      <c r="J8" s="7">
        <v>0</v>
      </c>
      <c r="K8" s="7">
        <v>5</v>
      </c>
      <c r="L8" s="7">
        <v>17</v>
      </c>
      <c r="M8" s="7">
        <v>26</v>
      </c>
    </row>
    <row r="9" spans="1:13" x14ac:dyDescent="0.2">
      <c r="A9" s="5">
        <v>5</v>
      </c>
      <c r="B9" s="7">
        <v>35</v>
      </c>
      <c r="C9" s="7">
        <v>36</v>
      </c>
      <c r="D9" s="7">
        <v>32</v>
      </c>
      <c r="E9" s="7">
        <v>17</v>
      </c>
      <c r="F9" s="7">
        <v>12</v>
      </c>
      <c r="G9" s="7">
        <v>2</v>
      </c>
      <c r="H9" s="7">
        <v>1</v>
      </c>
      <c r="I9" s="7">
        <v>0</v>
      </c>
      <c r="J9" s="7">
        <v>0</v>
      </c>
      <c r="K9" s="7">
        <v>6</v>
      </c>
      <c r="L9" s="7">
        <v>16</v>
      </c>
      <c r="M9" s="7">
        <v>27</v>
      </c>
    </row>
    <row r="10" spans="1:13" x14ac:dyDescent="0.2">
      <c r="A10" s="5">
        <v>6</v>
      </c>
      <c r="B10" s="7">
        <v>37</v>
      </c>
      <c r="C10" s="7">
        <v>35</v>
      </c>
      <c r="D10" s="7">
        <v>30</v>
      </c>
      <c r="E10" s="7">
        <v>16</v>
      </c>
      <c r="F10" s="7">
        <v>11</v>
      </c>
      <c r="G10" s="7">
        <v>3</v>
      </c>
      <c r="H10" s="7">
        <v>0</v>
      </c>
      <c r="I10" s="7">
        <v>0</v>
      </c>
      <c r="J10" s="7">
        <v>1</v>
      </c>
      <c r="K10" s="7">
        <v>4</v>
      </c>
      <c r="L10" s="7">
        <v>16</v>
      </c>
      <c r="M10" s="7">
        <v>29</v>
      </c>
    </row>
    <row r="11" spans="1:13" x14ac:dyDescent="0.2">
      <c r="A11" s="5">
        <v>7</v>
      </c>
      <c r="B11" s="7">
        <v>38</v>
      </c>
      <c r="C11" s="7">
        <v>34</v>
      </c>
      <c r="D11" s="7">
        <v>28</v>
      </c>
      <c r="E11" s="7">
        <v>15</v>
      </c>
      <c r="F11" s="7">
        <v>9</v>
      </c>
      <c r="G11" s="7">
        <v>2</v>
      </c>
      <c r="H11" s="7">
        <v>0</v>
      </c>
      <c r="I11" s="7">
        <v>1</v>
      </c>
      <c r="J11" s="7">
        <v>1</v>
      </c>
      <c r="K11" s="7">
        <v>6</v>
      </c>
      <c r="L11" s="7">
        <v>17</v>
      </c>
      <c r="M11" s="7">
        <v>30</v>
      </c>
    </row>
    <row r="12" spans="1:13" x14ac:dyDescent="0.2">
      <c r="A12" s="5">
        <v>8</v>
      </c>
      <c r="B12" s="7">
        <v>36</v>
      </c>
      <c r="C12" s="7">
        <v>35</v>
      </c>
      <c r="D12" s="7">
        <v>27</v>
      </c>
      <c r="E12" s="7">
        <v>15</v>
      </c>
      <c r="F12" s="7">
        <v>11</v>
      </c>
      <c r="G12" s="7">
        <v>2</v>
      </c>
      <c r="H12" s="7">
        <v>0</v>
      </c>
      <c r="I12" s="7">
        <v>0</v>
      </c>
      <c r="J12" s="7">
        <v>0</v>
      </c>
      <c r="K12" s="7">
        <v>7</v>
      </c>
      <c r="L12" s="7">
        <v>17</v>
      </c>
      <c r="M12" s="7">
        <v>31</v>
      </c>
    </row>
    <row r="13" spans="1:13" x14ac:dyDescent="0.2">
      <c r="A13" s="5">
        <v>9</v>
      </c>
      <c r="B13" s="7">
        <v>35</v>
      </c>
      <c r="C13" s="7">
        <v>35</v>
      </c>
      <c r="D13" s="7">
        <v>25</v>
      </c>
      <c r="E13" s="7">
        <v>16</v>
      </c>
      <c r="F13" s="7">
        <v>11</v>
      </c>
      <c r="G13" s="7">
        <v>1</v>
      </c>
      <c r="H13" s="7">
        <v>0</v>
      </c>
      <c r="I13" s="7">
        <v>0</v>
      </c>
      <c r="J13" s="7">
        <v>1</v>
      </c>
      <c r="K13" s="7">
        <v>7</v>
      </c>
      <c r="L13" s="7">
        <v>17</v>
      </c>
      <c r="M13" s="7">
        <v>28</v>
      </c>
    </row>
    <row r="14" spans="1:13" x14ac:dyDescent="0.2">
      <c r="A14" s="5">
        <v>10</v>
      </c>
      <c r="B14" s="7">
        <v>33</v>
      </c>
      <c r="C14" s="7">
        <v>35</v>
      </c>
      <c r="D14" s="7">
        <v>24</v>
      </c>
      <c r="E14" s="7">
        <v>15</v>
      </c>
      <c r="F14" s="7">
        <v>10</v>
      </c>
      <c r="G14" s="7">
        <v>0</v>
      </c>
      <c r="H14" s="7">
        <v>0</v>
      </c>
      <c r="I14" s="7">
        <v>0</v>
      </c>
      <c r="J14" s="7">
        <v>1</v>
      </c>
      <c r="K14" s="7">
        <v>7</v>
      </c>
      <c r="L14" s="7">
        <v>17</v>
      </c>
      <c r="M14" s="7">
        <v>30</v>
      </c>
    </row>
    <row r="15" spans="1:13" x14ac:dyDescent="0.2">
      <c r="A15" s="5">
        <v>11</v>
      </c>
      <c r="B15" s="7">
        <v>29</v>
      </c>
      <c r="C15" s="7">
        <v>35</v>
      </c>
      <c r="D15" s="7">
        <v>25</v>
      </c>
      <c r="E15" s="7">
        <v>14</v>
      </c>
      <c r="F15" s="7">
        <v>10</v>
      </c>
      <c r="G15" s="7">
        <v>0</v>
      </c>
      <c r="H15" s="7">
        <v>0</v>
      </c>
      <c r="I15" s="7">
        <v>0</v>
      </c>
      <c r="J15" s="7">
        <v>0</v>
      </c>
      <c r="K15" s="7">
        <v>7</v>
      </c>
      <c r="L15" s="7">
        <v>17</v>
      </c>
      <c r="M15" s="7">
        <v>30</v>
      </c>
    </row>
    <row r="16" spans="1:13" x14ac:dyDescent="0.2">
      <c r="A16" s="5">
        <v>12</v>
      </c>
      <c r="B16" s="7">
        <v>29</v>
      </c>
      <c r="C16" s="7">
        <v>35</v>
      </c>
      <c r="D16" s="7">
        <v>28</v>
      </c>
      <c r="E16" s="7">
        <v>12</v>
      </c>
      <c r="F16" s="7">
        <v>9</v>
      </c>
      <c r="G16" s="7">
        <v>1</v>
      </c>
      <c r="H16" s="7">
        <v>0</v>
      </c>
      <c r="I16" s="7">
        <v>0</v>
      </c>
      <c r="J16" s="7">
        <v>1</v>
      </c>
      <c r="K16" s="7">
        <v>7</v>
      </c>
      <c r="L16" s="7">
        <v>22</v>
      </c>
      <c r="M16" s="7">
        <v>30</v>
      </c>
    </row>
    <row r="17" spans="1:13" x14ac:dyDescent="0.2">
      <c r="A17" s="5">
        <v>13</v>
      </c>
      <c r="B17" s="7">
        <v>35</v>
      </c>
      <c r="C17" s="7">
        <v>35</v>
      </c>
      <c r="D17" s="7">
        <v>28</v>
      </c>
      <c r="E17" s="7">
        <v>11</v>
      </c>
      <c r="F17" s="7">
        <v>9</v>
      </c>
      <c r="G17" s="7">
        <v>2</v>
      </c>
      <c r="H17" s="7">
        <v>0</v>
      </c>
      <c r="I17" s="7">
        <v>0</v>
      </c>
      <c r="J17" s="7">
        <v>2</v>
      </c>
      <c r="K17" s="7">
        <v>8</v>
      </c>
      <c r="L17" s="7">
        <v>23</v>
      </c>
      <c r="M17" s="7">
        <v>30</v>
      </c>
    </row>
    <row r="18" spans="1:13" x14ac:dyDescent="0.2">
      <c r="A18" s="5">
        <v>14</v>
      </c>
      <c r="B18" s="7">
        <v>36</v>
      </c>
      <c r="C18" s="7">
        <v>35</v>
      </c>
      <c r="D18" s="7">
        <v>23</v>
      </c>
      <c r="E18" s="7">
        <v>12</v>
      </c>
      <c r="F18" s="7">
        <v>7</v>
      </c>
      <c r="G18" s="7">
        <v>2</v>
      </c>
      <c r="H18" s="7">
        <v>1</v>
      </c>
      <c r="I18" s="7">
        <v>0</v>
      </c>
      <c r="J18" s="7">
        <v>2</v>
      </c>
      <c r="K18" s="7">
        <v>9</v>
      </c>
      <c r="L18" s="7">
        <v>23</v>
      </c>
      <c r="M18" s="7">
        <v>28</v>
      </c>
    </row>
    <row r="19" spans="1:13" x14ac:dyDescent="0.2">
      <c r="A19" s="5">
        <v>15</v>
      </c>
      <c r="B19" s="7">
        <v>36</v>
      </c>
      <c r="C19" s="7">
        <v>35</v>
      </c>
      <c r="D19" s="7">
        <v>24</v>
      </c>
      <c r="E19" s="7">
        <v>11</v>
      </c>
      <c r="F19" s="7">
        <v>6</v>
      </c>
      <c r="G19" s="7">
        <v>0</v>
      </c>
      <c r="H19" s="7">
        <v>0</v>
      </c>
      <c r="I19" s="7">
        <v>0</v>
      </c>
      <c r="J19" s="7">
        <v>3</v>
      </c>
      <c r="K19" s="7">
        <v>10</v>
      </c>
      <c r="L19" s="7">
        <v>21</v>
      </c>
      <c r="M19" s="7">
        <v>29</v>
      </c>
    </row>
    <row r="20" spans="1:13" x14ac:dyDescent="0.2">
      <c r="A20" s="5">
        <v>16</v>
      </c>
      <c r="B20" s="7">
        <v>36</v>
      </c>
      <c r="C20" s="7">
        <v>35</v>
      </c>
      <c r="D20" s="7">
        <v>21</v>
      </c>
      <c r="E20" s="7">
        <v>13</v>
      </c>
      <c r="F20" s="7">
        <v>7</v>
      </c>
      <c r="G20" s="7">
        <v>0</v>
      </c>
      <c r="H20" s="7">
        <v>0</v>
      </c>
      <c r="I20" s="7">
        <v>0</v>
      </c>
      <c r="J20" s="7">
        <v>3</v>
      </c>
      <c r="K20" s="7">
        <v>12</v>
      </c>
      <c r="L20" s="7">
        <v>21</v>
      </c>
      <c r="M20" s="7">
        <v>29</v>
      </c>
    </row>
    <row r="21" spans="1:13" x14ac:dyDescent="0.2">
      <c r="A21" s="5">
        <v>17</v>
      </c>
      <c r="B21" s="7">
        <v>34</v>
      </c>
      <c r="C21" s="7">
        <v>35</v>
      </c>
      <c r="D21" s="7">
        <v>21</v>
      </c>
      <c r="E21" s="7">
        <v>15</v>
      </c>
      <c r="F21" s="7">
        <v>8</v>
      </c>
      <c r="G21" s="7">
        <v>0</v>
      </c>
      <c r="H21" s="7">
        <v>0</v>
      </c>
      <c r="I21" s="7">
        <v>0</v>
      </c>
      <c r="J21" s="7">
        <v>2</v>
      </c>
      <c r="K21" s="7">
        <v>13</v>
      </c>
      <c r="L21" s="7">
        <v>21</v>
      </c>
      <c r="M21" s="7">
        <v>31</v>
      </c>
    </row>
    <row r="22" spans="1:13" x14ac:dyDescent="0.2">
      <c r="A22" s="5">
        <v>18</v>
      </c>
      <c r="B22" s="7">
        <v>34</v>
      </c>
      <c r="C22" s="7">
        <v>32</v>
      </c>
      <c r="D22" s="7">
        <v>21</v>
      </c>
      <c r="E22" s="7">
        <v>14</v>
      </c>
      <c r="F22" s="7">
        <v>6</v>
      </c>
      <c r="G22" s="7">
        <v>0</v>
      </c>
      <c r="H22" s="7">
        <v>0</v>
      </c>
      <c r="I22" s="7">
        <v>1</v>
      </c>
      <c r="J22" s="7">
        <v>2</v>
      </c>
      <c r="K22" s="7">
        <v>14</v>
      </c>
      <c r="L22" s="7">
        <v>21</v>
      </c>
      <c r="M22" s="7">
        <v>33</v>
      </c>
    </row>
    <row r="23" spans="1:13" x14ac:dyDescent="0.2">
      <c r="A23" s="5">
        <v>19</v>
      </c>
      <c r="B23" s="7">
        <v>34</v>
      </c>
      <c r="C23" s="7">
        <v>33</v>
      </c>
      <c r="D23" s="7">
        <v>23</v>
      </c>
      <c r="E23" s="7">
        <v>14</v>
      </c>
      <c r="F23" s="7">
        <v>3</v>
      </c>
      <c r="G23" s="7">
        <v>0</v>
      </c>
      <c r="H23" s="7">
        <v>0</v>
      </c>
      <c r="I23" s="7">
        <v>0</v>
      </c>
      <c r="J23" s="7">
        <v>3</v>
      </c>
      <c r="K23" s="7">
        <v>12</v>
      </c>
      <c r="L23" s="7">
        <v>23</v>
      </c>
      <c r="M23" s="7">
        <v>34</v>
      </c>
    </row>
    <row r="24" spans="1:13" x14ac:dyDescent="0.2">
      <c r="A24" s="5">
        <v>20</v>
      </c>
      <c r="B24" s="7">
        <v>37</v>
      </c>
      <c r="C24" s="7">
        <v>32</v>
      </c>
      <c r="D24" s="7">
        <v>23</v>
      </c>
      <c r="E24" s="7">
        <v>14</v>
      </c>
      <c r="F24" s="7">
        <v>4</v>
      </c>
      <c r="G24" s="7">
        <v>0</v>
      </c>
      <c r="H24" s="7">
        <v>0</v>
      </c>
      <c r="I24" s="7">
        <v>0</v>
      </c>
      <c r="J24" s="7">
        <v>2</v>
      </c>
      <c r="K24" s="7">
        <v>11</v>
      </c>
      <c r="L24" s="7">
        <v>24</v>
      </c>
      <c r="M24" s="7">
        <v>31</v>
      </c>
    </row>
    <row r="25" spans="1:13" x14ac:dyDescent="0.2">
      <c r="A25" s="5">
        <v>21</v>
      </c>
      <c r="B25" s="7">
        <v>37</v>
      </c>
      <c r="C25" s="7">
        <v>29</v>
      </c>
      <c r="D25" s="7">
        <v>22</v>
      </c>
      <c r="E25" s="7">
        <v>15</v>
      </c>
      <c r="F25" s="7">
        <v>3</v>
      </c>
      <c r="G25" s="7">
        <v>0</v>
      </c>
      <c r="H25" s="7">
        <v>0</v>
      </c>
      <c r="I25" s="7">
        <v>0</v>
      </c>
      <c r="J25" s="7">
        <v>1</v>
      </c>
      <c r="K25" s="7">
        <v>11</v>
      </c>
      <c r="L25" s="7">
        <v>23</v>
      </c>
      <c r="M25" s="7">
        <v>27</v>
      </c>
    </row>
    <row r="26" spans="1:13" x14ac:dyDescent="0.2">
      <c r="A26" s="5">
        <v>22</v>
      </c>
      <c r="B26" s="7">
        <v>37</v>
      </c>
      <c r="C26" s="7">
        <v>28</v>
      </c>
      <c r="D26" s="7">
        <v>23</v>
      </c>
      <c r="E26" s="7">
        <v>17</v>
      </c>
      <c r="F26" s="7">
        <v>3</v>
      </c>
      <c r="G26" s="7">
        <v>0</v>
      </c>
      <c r="H26" s="7">
        <v>0</v>
      </c>
      <c r="I26" s="7">
        <v>0</v>
      </c>
      <c r="J26" s="7">
        <v>3</v>
      </c>
      <c r="K26" s="7">
        <v>12</v>
      </c>
      <c r="L26" s="7">
        <v>24</v>
      </c>
      <c r="M26" s="7">
        <v>27</v>
      </c>
    </row>
    <row r="27" spans="1:13" x14ac:dyDescent="0.2">
      <c r="A27" s="5">
        <v>23</v>
      </c>
      <c r="B27" s="7">
        <v>34</v>
      </c>
      <c r="C27" s="7">
        <v>29</v>
      </c>
      <c r="D27" s="7">
        <v>22</v>
      </c>
      <c r="E27" s="7">
        <v>14</v>
      </c>
      <c r="F27" s="7">
        <v>3</v>
      </c>
      <c r="G27" s="7">
        <v>0</v>
      </c>
      <c r="H27" s="7">
        <v>0</v>
      </c>
      <c r="I27" s="7">
        <v>0</v>
      </c>
      <c r="J27" s="7">
        <v>4</v>
      </c>
      <c r="K27" s="7">
        <v>11</v>
      </c>
      <c r="L27" s="7">
        <v>24</v>
      </c>
      <c r="M27" s="7">
        <v>28</v>
      </c>
    </row>
    <row r="28" spans="1:13" x14ac:dyDescent="0.2">
      <c r="A28" s="5">
        <v>24</v>
      </c>
      <c r="B28" s="7">
        <v>34</v>
      </c>
      <c r="C28" s="7">
        <v>29</v>
      </c>
      <c r="D28" s="7">
        <v>20</v>
      </c>
      <c r="E28" s="7">
        <v>13</v>
      </c>
      <c r="F28" s="7">
        <v>3</v>
      </c>
      <c r="G28" s="7">
        <v>0</v>
      </c>
      <c r="H28" s="7">
        <v>0</v>
      </c>
      <c r="I28" s="7">
        <v>0</v>
      </c>
      <c r="J28" s="7">
        <v>3</v>
      </c>
      <c r="K28" s="7">
        <v>11</v>
      </c>
      <c r="L28" s="7">
        <v>24</v>
      </c>
      <c r="M28" s="7">
        <v>30</v>
      </c>
    </row>
    <row r="29" spans="1:13" x14ac:dyDescent="0.2">
      <c r="A29" s="5">
        <v>25</v>
      </c>
      <c r="B29" s="7">
        <v>34</v>
      </c>
      <c r="C29" s="7">
        <v>33</v>
      </c>
      <c r="D29" s="7">
        <v>21</v>
      </c>
      <c r="E29" s="7">
        <v>11</v>
      </c>
      <c r="F29" s="7">
        <v>3</v>
      </c>
      <c r="G29" s="7">
        <v>0</v>
      </c>
      <c r="H29" s="7">
        <v>1</v>
      </c>
      <c r="I29" s="7">
        <v>0</v>
      </c>
      <c r="J29" s="7">
        <v>2</v>
      </c>
      <c r="K29" s="7">
        <v>12</v>
      </c>
      <c r="L29" s="7">
        <v>21</v>
      </c>
      <c r="M29" s="7">
        <v>30</v>
      </c>
    </row>
    <row r="30" spans="1:13" x14ac:dyDescent="0.2">
      <c r="A30" s="5">
        <v>26</v>
      </c>
      <c r="B30" s="7">
        <v>35</v>
      </c>
      <c r="C30" s="7">
        <v>35</v>
      </c>
      <c r="D30" s="7">
        <v>24</v>
      </c>
      <c r="E30" s="7">
        <v>13</v>
      </c>
      <c r="F30" s="7">
        <v>2</v>
      </c>
      <c r="G30" s="7">
        <v>0</v>
      </c>
      <c r="H30" s="7">
        <v>0</v>
      </c>
      <c r="I30" s="7">
        <v>1</v>
      </c>
      <c r="J30" s="7">
        <v>2</v>
      </c>
      <c r="K30" s="7">
        <v>13</v>
      </c>
      <c r="L30" s="7">
        <v>22</v>
      </c>
      <c r="M30" s="7">
        <v>29</v>
      </c>
    </row>
    <row r="31" spans="1:13" x14ac:dyDescent="0.2">
      <c r="A31" s="5">
        <v>27</v>
      </c>
      <c r="B31" s="7">
        <v>36</v>
      </c>
      <c r="C31" s="7">
        <v>32</v>
      </c>
      <c r="D31" s="7">
        <v>22</v>
      </c>
      <c r="E31" s="7">
        <v>14</v>
      </c>
      <c r="F31" s="7">
        <v>2</v>
      </c>
      <c r="G31" s="7">
        <v>0</v>
      </c>
      <c r="H31" s="7">
        <v>0</v>
      </c>
      <c r="I31" s="7">
        <v>0</v>
      </c>
      <c r="J31" s="7">
        <v>4</v>
      </c>
      <c r="K31" s="7">
        <v>14</v>
      </c>
      <c r="L31" s="7">
        <v>24</v>
      </c>
      <c r="M31" s="7">
        <v>28</v>
      </c>
    </row>
    <row r="32" spans="1:13" x14ac:dyDescent="0.2">
      <c r="A32" s="5">
        <v>28</v>
      </c>
      <c r="B32" s="7">
        <v>36</v>
      </c>
      <c r="C32" s="7">
        <v>30</v>
      </c>
      <c r="D32" s="7">
        <v>20</v>
      </c>
      <c r="E32" s="7">
        <v>15</v>
      </c>
      <c r="F32" s="7">
        <v>1</v>
      </c>
      <c r="G32" s="7">
        <v>0</v>
      </c>
      <c r="H32" s="7">
        <v>0</v>
      </c>
      <c r="I32" s="7">
        <v>0</v>
      </c>
      <c r="J32" s="7">
        <v>4</v>
      </c>
      <c r="K32" s="7">
        <v>14</v>
      </c>
      <c r="L32" s="7">
        <v>26</v>
      </c>
      <c r="M32" s="7">
        <v>30</v>
      </c>
    </row>
    <row r="33" spans="1:13" x14ac:dyDescent="0.2">
      <c r="A33" s="5">
        <v>29</v>
      </c>
      <c r="B33" s="7">
        <v>36</v>
      </c>
      <c r="C33" s="7">
        <v>34</v>
      </c>
      <c r="D33" s="7">
        <v>23</v>
      </c>
      <c r="E33" s="7">
        <v>12</v>
      </c>
      <c r="F33" s="7">
        <v>2</v>
      </c>
      <c r="G33" s="7">
        <v>0</v>
      </c>
      <c r="H33" s="7">
        <v>0</v>
      </c>
      <c r="I33" s="7">
        <v>0</v>
      </c>
      <c r="J33" s="7">
        <v>5</v>
      </c>
      <c r="K33" s="7">
        <v>16</v>
      </c>
      <c r="L33" s="7">
        <v>24</v>
      </c>
      <c r="M33" s="7">
        <v>31</v>
      </c>
    </row>
    <row r="34" spans="1:13" x14ac:dyDescent="0.2">
      <c r="A34" s="5">
        <v>30</v>
      </c>
      <c r="B34" s="7">
        <v>36</v>
      </c>
      <c r="C34" s="7"/>
      <c r="D34" s="7">
        <v>21</v>
      </c>
      <c r="E34" s="7">
        <v>10</v>
      </c>
      <c r="F34" s="7">
        <v>2</v>
      </c>
      <c r="G34" s="7">
        <v>0</v>
      </c>
      <c r="H34" s="7">
        <v>0</v>
      </c>
      <c r="I34" s="7">
        <v>1</v>
      </c>
      <c r="J34" s="7">
        <v>6</v>
      </c>
      <c r="K34" s="7">
        <v>16</v>
      </c>
      <c r="L34" s="7">
        <v>21</v>
      </c>
      <c r="M34" s="7">
        <v>30</v>
      </c>
    </row>
    <row r="35" spans="1:13" x14ac:dyDescent="0.2">
      <c r="A35" s="5">
        <v>31</v>
      </c>
      <c r="B35" s="7">
        <v>36</v>
      </c>
      <c r="C35" s="7"/>
      <c r="D35" s="7">
        <v>19</v>
      </c>
      <c r="E35" s="7"/>
      <c r="F35" s="7">
        <v>3</v>
      </c>
      <c r="G35" s="7"/>
      <c r="H35" s="7">
        <v>0</v>
      </c>
      <c r="I35" s="7">
        <v>0</v>
      </c>
      <c r="J35" s="7"/>
      <c r="K35" s="7">
        <v>16</v>
      </c>
      <c r="L35" s="7"/>
      <c r="M35" s="7">
        <v>30</v>
      </c>
    </row>
    <row r="36" spans="1:13" x14ac:dyDescent="0.2">
      <c r="A36" s="4" t="s">
        <v>14</v>
      </c>
      <c r="B36" s="8">
        <f>SUM(B5:B35)</f>
        <v>1076</v>
      </c>
      <c r="C36" s="8">
        <f t="shared" ref="C36:M36" si="0">SUM(C5:C35)</f>
        <v>972</v>
      </c>
      <c r="D36" s="8">
        <f t="shared" si="0"/>
        <v>772</v>
      </c>
      <c r="E36" s="8">
        <f t="shared" si="0"/>
        <v>435</v>
      </c>
      <c r="F36" s="8">
        <f t="shared" si="0"/>
        <v>199</v>
      </c>
      <c r="G36" s="8">
        <f t="shared" si="0"/>
        <v>27</v>
      </c>
      <c r="H36" s="8">
        <f t="shared" si="0"/>
        <v>3</v>
      </c>
      <c r="I36" s="8">
        <f t="shared" si="0"/>
        <v>4</v>
      </c>
      <c r="J36" s="8">
        <f t="shared" si="0"/>
        <v>58</v>
      </c>
      <c r="K36" s="8">
        <f t="shared" si="0"/>
        <v>305</v>
      </c>
      <c r="L36" s="8">
        <f t="shared" si="0"/>
        <v>619</v>
      </c>
      <c r="M36" s="8">
        <f t="shared" si="0"/>
        <v>900</v>
      </c>
    </row>
    <row r="38" spans="1:13" x14ac:dyDescent="0.2">
      <c r="K38" s="2" t="s">
        <v>12</v>
      </c>
      <c r="M38" s="7">
        <f>SUM(B36:M36)</f>
        <v>5370</v>
      </c>
    </row>
    <row r="40" spans="1:13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368"/>
  <sheetViews>
    <sheetView workbookViewId="0"/>
  </sheetViews>
  <sheetFormatPr defaultColWidth="9.33203125" defaultRowHeight="12.75" x14ac:dyDescent="0.2"/>
  <cols>
    <col min="1" max="1" width="17.83203125" style="2" customWidth="1"/>
    <col min="2" max="16384" width="9.33203125" style="2"/>
  </cols>
  <sheetData>
    <row r="1" spans="1:13" ht="18" x14ac:dyDescent="0.25">
      <c r="A1" s="39" t="s">
        <v>21</v>
      </c>
    </row>
    <row r="2" spans="1:13" ht="18" x14ac:dyDescent="0.25">
      <c r="A2" s="39" t="s">
        <v>50</v>
      </c>
      <c r="M2" s="3"/>
    </row>
    <row r="4" spans="1:13" x14ac:dyDescent="0.2">
      <c r="A4" s="4" t="s">
        <v>13</v>
      </c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</row>
    <row r="5" spans="1:13" x14ac:dyDescent="0.2">
      <c r="A5" s="6">
        <v>1</v>
      </c>
      <c r="B5" s="7">
        <v>32</v>
      </c>
      <c r="C5" s="7">
        <v>35</v>
      </c>
      <c r="D5" s="7">
        <v>27</v>
      </c>
      <c r="E5" s="7">
        <v>19</v>
      </c>
      <c r="F5" s="7">
        <v>8</v>
      </c>
      <c r="G5" s="7">
        <v>3</v>
      </c>
      <c r="H5" s="7">
        <v>0</v>
      </c>
      <c r="I5" s="7">
        <v>0</v>
      </c>
      <c r="J5" s="7">
        <v>1</v>
      </c>
      <c r="K5" s="7">
        <v>6</v>
      </c>
      <c r="L5" s="7">
        <v>18</v>
      </c>
      <c r="M5" s="7">
        <v>25</v>
      </c>
    </row>
    <row r="6" spans="1:13" x14ac:dyDescent="0.2">
      <c r="A6" s="5">
        <v>2</v>
      </c>
      <c r="B6" s="7">
        <v>34</v>
      </c>
      <c r="C6" s="7">
        <v>36</v>
      </c>
      <c r="D6" s="7">
        <v>32</v>
      </c>
      <c r="E6" s="7">
        <v>20</v>
      </c>
      <c r="F6" s="7">
        <v>8</v>
      </c>
      <c r="G6" s="7">
        <v>2</v>
      </c>
      <c r="H6" s="7">
        <v>0</v>
      </c>
      <c r="I6" s="7">
        <v>0</v>
      </c>
      <c r="J6" s="7">
        <v>0</v>
      </c>
      <c r="K6" s="7">
        <v>6</v>
      </c>
      <c r="L6" s="7">
        <v>18</v>
      </c>
      <c r="M6" s="7">
        <v>25</v>
      </c>
    </row>
    <row r="7" spans="1:13" x14ac:dyDescent="0.2">
      <c r="A7" s="5">
        <v>3</v>
      </c>
      <c r="B7" s="7">
        <v>34</v>
      </c>
      <c r="C7" s="7">
        <v>37</v>
      </c>
      <c r="D7" s="7">
        <v>31</v>
      </c>
      <c r="E7" s="7">
        <v>17</v>
      </c>
      <c r="F7" s="7">
        <v>7</v>
      </c>
      <c r="G7" s="7">
        <v>3</v>
      </c>
      <c r="H7" s="7">
        <v>0</v>
      </c>
      <c r="I7" s="7">
        <v>0</v>
      </c>
      <c r="J7" s="7">
        <v>0</v>
      </c>
      <c r="K7" s="7">
        <v>6</v>
      </c>
      <c r="L7" s="7">
        <v>17</v>
      </c>
      <c r="M7" s="7">
        <v>26</v>
      </c>
    </row>
    <row r="8" spans="1:13" x14ac:dyDescent="0.2">
      <c r="A8" s="5">
        <v>4</v>
      </c>
      <c r="B8" s="7">
        <v>33</v>
      </c>
      <c r="C8" s="7">
        <v>37</v>
      </c>
      <c r="D8" s="7">
        <v>33</v>
      </c>
      <c r="E8" s="7">
        <v>16</v>
      </c>
      <c r="F8" s="7">
        <v>8</v>
      </c>
      <c r="G8" s="7">
        <v>2</v>
      </c>
      <c r="H8" s="7">
        <v>0</v>
      </c>
      <c r="I8" s="7">
        <v>0</v>
      </c>
      <c r="J8" s="7">
        <v>0</v>
      </c>
      <c r="K8" s="7">
        <v>6</v>
      </c>
      <c r="L8" s="7">
        <v>16</v>
      </c>
      <c r="M8" s="7">
        <v>27</v>
      </c>
    </row>
    <row r="9" spans="1:13" x14ac:dyDescent="0.2">
      <c r="A9" s="5">
        <v>5</v>
      </c>
      <c r="B9" s="7">
        <v>36</v>
      </c>
      <c r="C9" s="7">
        <v>37</v>
      </c>
      <c r="D9" s="7">
        <v>31</v>
      </c>
      <c r="E9" s="7">
        <v>17</v>
      </c>
      <c r="F9" s="7">
        <v>10</v>
      </c>
      <c r="G9" s="7">
        <v>2</v>
      </c>
      <c r="H9" s="7">
        <v>1</v>
      </c>
      <c r="I9" s="7">
        <v>0</v>
      </c>
      <c r="J9" s="7">
        <v>1</v>
      </c>
      <c r="K9" s="7">
        <v>6</v>
      </c>
      <c r="L9" s="7">
        <v>14</v>
      </c>
      <c r="M9" s="7">
        <v>28</v>
      </c>
    </row>
    <row r="10" spans="1:13" x14ac:dyDescent="0.2">
      <c r="A10" s="5">
        <v>6</v>
      </c>
      <c r="B10" s="7">
        <v>37</v>
      </c>
      <c r="C10" s="7">
        <v>37</v>
      </c>
      <c r="D10" s="7">
        <v>27</v>
      </c>
      <c r="E10" s="7">
        <v>15</v>
      </c>
      <c r="F10" s="7">
        <v>9</v>
      </c>
      <c r="G10" s="7">
        <v>2</v>
      </c>
      <c r="H10" s="7">
        <v>0</v>
      </c>
      <c r="I10" s="7">
        <v>0</v>
      </c>
      <c r="J10" s="7">
        <v>1</v>
      </c>
      <c r="K10" s="7">
        <v>4</v>
      </c>
      <c r="L10" s="7">
        <v>15</v>
      </c>
      <c r="M10" s="7">
        <v>30</v>
      </c>
    </row>
    <row r="11" spans="1:13" x14ac:dyDescent="0.2">
      <c r="A11" s="5">
        <v>7</v>
      </c>
      <c r="B11" s="7">
        <v>39</v>
      </c>
      <c r="C11" s="7">
        <v>33</v>
      </c>
      <c r="D11" s="7">
        <v>24</v>
      </c>
      <c r="E11" s="7">
        <v>16</v>
      </c>
      <c r="F11" s="7">
        <v>7</v>
      </c>
      <c r="G11" s="7">
        <v>1</v>
      </c>
      <c r="H11" s="7">
        <v>0</v>
      </c>
      <c r="I11" s="7">
        <v>0</v>
      </c>
      <c r="J11" s="7">
        <v>1</v>
      </c>
      <c r="K11" s="7">
        <v>6</v>
      </c>
      <c r="L11" s="7">
        <v>17</v>
      </c>
      <c r="M11" s="7">
        <v>32</v>
      </c>
    </row>
    <row r="12" spans="1:13" x14ac:dyDescent="0.2">
      <c r="A12" s="5">
        <v>8</v>
      </c>
      <c r="B12" s="7">
        <v>37</v>
      </c>
      <c r="C12" s="7">
        <v>37</v>
      </c>
      <c r="D12" s="7">
        <v>23</v>
      </c>
      <c r="E12" s="7">
        <v>15</v>
      </c>
      <c r="F12" s="7">
        <v>9</v>
      </c>
      <c r="G12" s="7">
        <v>1</v>
      </c>
      <c r="H12" s="7">
        <v>0</v>
      </c>
      <c r="I12" s="7">
        <v>0</v>
      </c>
      <c r="J12" s="7">
        <v>1</v>
      </c>
      <c r="K12" s="7">
        <v>8</v>
      </c>
      <c r="L12" s="7">
        <v>18</v>
      </c>
      <c r="M12" s="7">
        <v>31</v>
      </c>
    </row>
    <row r="13" spans="1:13" x14ac:dyDescent="0.2">
      <c r="A13" s="5">
        <v>9</v>
      </c>
      <c r="B13" s="7">
        <v>36</v>
      </c>
      <c r="C13" s="7">
        <v>37</v>
      </c>
      <c r="D13" s="7">
        <v>22</v>
      </c>
      <c r="E13" s="7">
        <v>14</v>
      </c>
      <c r="F13" s="7">
        <v>9</v>
      </c>
      <c r="G13" s="7">
        <v>0</v>
      </c>
      <c r="H13" s="7">
        <v>0</v>
      </c>
      <c r="I13" s="7">
        <v>0</v>
      </c>
      <c r="J13" s="7">
        <v>1</v>
      </c>
      <c r="K13" s="7">
        <v>7</v>
      </c>
      <c r="L13" s="7">
        <v>16</v>
      </c>
      <c r="M13" s="7">
        <v>28</v>
      </c>
    </row>
    <row r="14" spans="1:13" x14ac:dyDescent="0.2">
      <c r="A14" s="5">
        <v>10</v>
      </c>
      <c r="B14" s="7">
        <v>34</v>
      </c>
      <c r="C14" s="7">
        <v>38</v>
      </c>
      <c r="D14" s="7">
        <v>21</v>
      </c>
      <c r="E14" s="7">
        <v>14</v>
      </c>
      <c r="F14" s="7">
        <v>8</v>
      </c>
      <c r="G14" s="7">
        <v>0</v>
      </c>
      <c r="H14" s="7">
        <v>0</v>
      </c>
      <c r="I14" s="7">
        <v>0</v>
      </c>
      <c r="J14" s="7">
        <v>1</v>
      </c>
      <c r="K14" s="7">
        <v>7</v>
      </c>
      <c r="L14" s="7">
        <v>17</v>
      </c>
      <c r="M14" s="7">
        <v>31</v>
      </c>
    </row>
    <row r="15" spans="1:13" x14ac:dyDescent="0.2">
      <c r="A15" s="5">
        <v>11</v>
      </c>
      <c r="B15" s="7">
        <v>30</v>
      </c>
      <c r="C15" s="7">
        <v>35</v>
      </c>
      <c r="D15" s="7">
        <v>22</v>
      </c>
      <c r="E15" s="7">
        <v>13</v>
      </c>
      <c r="F15" s="7">
        <v>9</v>
      </c>
      <c r="G15" s="7">
        <v>0</v>
      </c>
      <c r="H15" s="7">
        <v>0</v>
      </c>
      <c r="I15" s="7">
        <v>0</v>
      </c>
      <c r="J15" s="7">
        <v>1</v>
      </c>
      <c r="K15" s="7">
        <v>7</v>
      </c>
      <c r="L15" s="7">
        <v>18</v>
      </c>
      <c r="M15" s="7">
        <v>31</v>
      </c>
    </row>
    <row r="16" spans="1:13" x14ac:dyDescent="0.2">
      <c r="A16" s="5">
        <v>12</v>
      </c>
      <c r="B16" s="7">
        <v>30</v>
      </c>
      <c r="C16" s="7">
        <v>37</v>
      </c>
      <c r="D16" s="7">
        <v>25</v>
      </c>
      <c r="E16" s="7">
        <v>12</v>
      </c>
      <c r="F16" s="7">
        <v>8</v>
      </c>
      <c r="G16" s="7">
        <v>0</v>
      </c>
      <c r="H16" s="7">
        <v>0</v>
      </c>
      <c r="I16" s="7">
        <v>0</v>
      </c>
      <c r="J16" s="7">
        <v>1</v>
      </c>
      <c r="K16" s="7">
        <v>7</v>
      </c>
      <c r="L16" s="7">
        <v>22</v>
      </c>
      <c r="M16" s="7">
        <v>31</v>
      </c>
    </row>
    <row r="17" spans="1:13" x14ac:dyDescent="0.2">
      <c r="A17" s="5">
        <v>13</v>
      </c>
      <c r="B17" s="7">
        <v>35</v>
      </c>
      <c r="C17" s="7">
        <v>37</v>
      </c>
      <c r="D17" s="7">
        <v>26</v>
      </c>
      <c r="E17" s="7">
        <v>11</v>
      </c>
      <c r="F17" s="7">
        <v>8</v>
      </c>
      <c r="G17" s="7">
        <v>1</v>
      </c>
      <c r="H17" s="7">
        <v>0</v>
      </c>
      <c r="I17" s="7">
        <v>0</v>
      </c>
      <c r="J17" s="7">
        <v>2</v>
      </c>
      <c r="K17" s="7">
        <v>8</v>
      </c>
      <c r="L17" s="7">
        <v>23</v>
      </c>
      <c r="M17" s="7">
        <v>31</v>
      </c>
    </row>
    <row r="18" spans="1:13" x14ac:dyDescent="0.2">
      <c r="A18" s="5">
        <v>14</v>
      </c>
      <c r="B18" s="7">
        <v>37</v>
      </c>
      <c r="C18" s="7">
        <v>37</v>
      </c>
      <c r="D18" s="7">
        <v>23</v>
      </c>
      <c r="E18" s="7">
        <v>12</v>
      </c>
      <c r="F18" s="7">
        <v>6</v>
      </c>
      <c r="G18" s="7">
        <v>1</v>
      </c>
      <c r="H18" s="7">
        <v>0</v>
      </c>
      <c r="I18" s="7">
        <v>1</v>
      </c>
      <c r="J18" s="7">
        <v>2</v>
      </c>
      <c r="K18" s="7">
        <v>10</v>
      </c>
      <c r="L18" s="7">
        <v>23</v>
      </c>
      <c r="M18" s="7">
        <v>29</v>
      </c>
    </row>
    <row r="19" spans="1:13" x14ac:dyDescent="0.2">
      <c r="A19" s="5">
        <v>15</v>
      </c>
      <c r="B19" s="7">
        <v>37</v>
      </c>
      <c r="C19" s="7">
        <v>36</v>
      </c>
      <c r="D19" s="7">
        <v>23</v>
      </c>
      <c r="E19" s="7">
        <v>11</v>
      </c>
      <c r="F19" s="7">
        <v>6</v>
      </c>
      <c r="G19" s="7">
        <v>0</v>
      </c>
      <c r="H19" s="7">
        <v>0</v>
      </c>
      <c r="I19" s="7">
        <v>1</v>
      </c>
      <c r="J19" s="7">
        <v>3</v>
      </c>
      <c r="K19" s="7">
        <v>10</v>
      </c>
      <c r="L19" s="7">
        <v>22</v>
      </c>
      <c r="M19" s="7">
        <v>30</v>
      </c>
    </row>
    <row r="20" spans="1:13" x14ac:dyDescent="0.2">
      <c r="A20" s="5">
        <v>16</v>
      </c>
      <c r="B20" s="7">
        <v>37</v>
      </c>
      <c r="C20" s="7">
        <v>36</v>
      </c>
      <c r="D20" s="7">
        <v>21</v>
      </c>
      <c r="E20" s="7">
        <v>13</v>
      </c>
      <c r="F20" s="7">
        <v>5</v>
      </c>
      <c r="G20" s="7">
        <v>0</v>
      </c>
      <c r="H20" s="7">
        <v>0</v>
      </c>
      <c r="I20" s="7">
        <v>0</v>
      </c>
      <c r="J20" s="7">
        <v>3</v>
      </c>
      <c r="K20" s="7">
        <v>12</v>
      </c>
      <c r="L20" s="7">
        <v>22</v>
      </c>
      <c r="M20" s="7">
        <v>30</v>
      </c>
    </row>
    <row r="21" spans="1:13" x14ac:dyDescent="0.2">
      <c r="A21" s="5">
        <v>17</v>
      </c>
      <c r="B21" s="7">
        <v>34</v>
      </c>
      <c r="C21" s="7">
        <v>36</v>
      </c>
      <c r="D21" s="7">
        <v>20</v>
      </c>
      <c r="E21" s="7">
        <v>16</v>
      </c>
      <c r="F21" s="7">
        <v>7</v>
      </c>
      <c r="G21" s="7">
        <v>0</v>
      </c>
      <c r="H21" s="7">
        <v>0</v>
      </c>
      <c r="I21" s="7">
        <v>0</v>
      </c>
      <c r="J21" s="7">
        <v>2</v>
      </c>
      <c r="K21" s="7">
        <v>13</v>
      </c>
      <c r="L21" s="7">
        <v>21</v>
      </c>
      <c r="M21" s="7">
        <v>32</v>
      </c>
    </row>
    <row r="22" spans="1:13" x14ac:dyDescent="0.2">
      <c r="A22" s="5">
        <v>18</v>
      </c>
      <c r="B22" s="7">
        <v>35</v>
      </c>
      <c r="C22" s="7">
        <v>32</v>
      </c>
      <c r="D22" s="7">
        <v>20</v>
      </c>
      <c r="E22" s="7">
        <v>13</v>
      </c>
      <c r="F22" s="7">
        <v>6</v>
      </c>
      <c r="G22" s="7">
        <v>0</v>
      </c>
      <c r="H22" s="7">
        <v>0</v>
      </c>
      <c r="I22" s="7">
        <v>0</v>
      </c>
      <c r="J22" s="7">
        <v>2</v>
      </c>
      <c r="K22" s="7">
        <v>13</v>
      </c>
      <c r="L22" s="7">
        <v>22</v>
      </c>
      <c r="M22" s="7">
        <v>34</v>
      </c>
    </row>
    <row r="23" spans="1:13" x14ac:dyDescent="0.2">
      <c r="A23" s="5">
        <v>19</v>
      </c>
      <c r="B23" s="7">
        <v>35</v>
      </c>
      <c r="C23" s="7">
        <v>33</v>
      </c>
      <c r="D23" s="7">
        <v>22</v>
      </c>
      <c r="E23" s="7">
        <v>12</v>
      </c>
      <c r="F23" s="7">
        <v>3</v>
      </c>
      <c r="G23" s="7">
        <v>0</v>
      </c>
      <c r="H23" s="7">
        <v>0</v>
      </c>
      <c r="I23" s="7">
        <v>0</v>
      </c>
      <c r="J23" s="7">
        <v>3</v>
      </c>
      <c r="K23" s="7">
        <v>13</v>
      </c>
      <c r="L23" s="7">
        <v>24</v>
      </c>
      <c r="M23" s="7">
        <v>35</v>
      </c>
    </row>
    <row r="24" spans="1:13" x14ac:dyDescent="0.2">
      <c r="A24" s="5">
        <v>20</v>
      </c>
      <c r="B24" s="7">
        <v>37</v>
      </c>
      <c r="C24" s="7">
        <v>32</v>
      </c>
      <c r="D24" s="7">
        <v>22</v>
      </c>
      <c r="E24" s="7">
        <v>13</v>
      </c>
      <c r="F24" s="7">
        <v>3</v>
      </c>
      <c r="G24" s="7">
        <v>0</v>
      </c>
      <c r="H24" s="7">
        <v>0</v>
      </c>
      <c r="I24" s="7">
        <v>0</v>
      </c>
      <c r="J24" s="7">
        <v>2</v>
      </c>
      <c r="K24" s="7">
        <v>11</v>
      </c>
      <c r="L24" s="7">
        <v>25</v>
      </c>
      <c r="M24" s="7">
        <v>32</v>
      </c>
    </row>
    <row r="25" spans="1:13" x14ac:dyDescent="0.2">
      <c r="A25" s="5">
        <v>21</v>
      </c>
      <c r="B25" s="7">
        <v>39</v>
      </c>
      <c r="C25" s="7">
        <v>29</v>
      </c>
      <c r="D25" s="7">
        <v>22</v>
      </c>
      <c r="E25" s="7">
        <v>14</v>
      </c>
      <c r="F25" s="7">
        <v>3</v>
      </c>
      <c r="G25" s="7">
        <v>0</v>
      </c>
      <c r="H25" s="7">
        <v>1</v>
      </c>
      <c r="I25" s="7">
        <v>0</v>
      </c>
      <c r="J25" s="7">
        <v>1</v>
      </c>
      <c r="K25" s="7">
        <v>11</v>
      </c>
      <c r="L25" s="7">
        <v>23</v>
      </c>
      <c r="M25" s="7">
        <v>28</v>
      </c>
    </row>
    <row r="26" spans="1:13" x14ac:dyDescent="0.2">
      <c r="A26" s="5">
        <v>22</v>
      </c>
      <c r="B26" s="7">
        <v>37</v>
      </c>
      <c r="C26" s="7">
        <v>28</v>
      </c>
      <c r="D26" s="7">
        <v>22</v>
      </c>
      <c r="E26" s="7">
        <v>16</v>
      </c>
      <c r="F26" s="7">
        <v>3</v>
      </c>
      <c r="G26" s="7">
        <v>0</v>
      </c>
      <c r="H26" s="7">
        <v>0</v>
      </c>
      <c r="I26" s="7">
        <v>0</v>
      </c>
      <c r="J26" s="7">
        <v>3</v>
      </c>
      <c r="K26" s="7">
        <v>11</v>
      </c>
      <c r="L26" s="7">
        <v>24</v>
      </c>
      <c r="M26" s="7">
        <v>28</v>
      </c>
    </row>
    <row r="27" spans="1:13" x14ac:dyDescent="0.2">
      <c r="A27" s="5">
        <v>23</v>
      </c>
      <c r="B27" s="7">
        <v>34</v>
      </c>
      <c r="C27" s="7">
        <v>29</v>
      </c>
      <c r="D27" s="7">
        <v>21</v>
      </c>
      <c r="E27" s="7">
        <v>13</v>
      </c>
      <c r="F27" s="7">
        <v>3</v>
      </c>
      <c r="G27" s="7">
        <v>0</v>
      </c>
      <c r="H27" s="7">
        <v>0</v>
      </c>
      <c r="I27" s="7">
        <v>0</v>
      </c>
      <c r="J27" s="7">
        <v>5</v>
      </c>
      <c r="K27" s="7">
        <v>10</v>
      </c>
      <c r="L27" s="7">
        <v>24</v>
      </c>
      <c r="M27" s="7">
        <v>29</v>
      </c>
    </row>
    <row r="28" spans="1:13" x14ac:dyDescent="0.2">
      <c r="A28" s="5">
        <v>24</v>
      </c>
      <c r="B28" s="7">
        <v>37</v>
      </c>
      <c r="C28" s="7">
        <v>30</v>
      </c>
      <c r="D28" s="7">
        <v>20</v>
      </c>
      <c r="E28" s="7">
        <v>12</v>
      </c>
      <c r="F28" s="7">
        <v>2</v>
      </c>
      <c r="G28" s="7">
        <v>0</v>
      </c>
      <c r="H28" s="7">
        <v>0</v>
      </c>
      <c r="I28" s="7">
        <v>0</v>
      </c>
      <c r="J28" s="7">
        <v>3</v>
      </c>
      <c r="K28" s="7">
        <v>11</v>
      </c>
      <c r="L28" s="7">
        <v>24</v>
      </c>
      <c r="M28" s="7">
        <v>31</v>
      </c>
    </row>
    <row r="29" spans="1:13" x14ac:dyDescent="0.2">
      <c r="A29" s="5">
        <v>25</v>
      </c>
      <c r="B29" s="7">
        <v>35</v>
      </c>
      <c r="C29" s="7">
        <v>33</v>
      </c>
      <c r="D29" s="7">
        <v>20</v>
      </c>
      <c r="E29" s="7">
        <v>11</v>
      </c>
      <c r="F29" s="7">
        <v>2</v>
      </c>
      <c r="G29" s="7">
        <v>0</v>
      </c>
      <c r="H29" s="7">
        <v>0</v>
      </c>
      <c r="I29" s="7">
        <v>0</v>
      </c>
      <c r="J29" s="7">
        <v>2</v>
      </c>
      <c r="K29" s="7">
        <v>11</v>
      </c>
      <c r="L29" s="7">
        <v>22</v>
      </c>
      <c r="M29" s="7">
        <v>31</v>
      </c>
    </row>
    <row r="30" spans="1:13" x14ac:dyDescent="0.2">
      <c r="A30" s="5">
        <v>26</v>
      </c>
      <c r="B30" s="7">
        <v>35</v>
      </c>
      <c r="C30" s="7">
        <v>35</v>
      </c>
      <c r="D30" s="7">
        <v>23</v>
      </c>
      <c r="E30" s="7">
        <v>12</v>
      </c>
      <c r="F30" s="7">
        <v>2</v>
      </c>
      <c r="G30" s="7">
        <v>0</v>
      </c>
      <c r="H30" s="7">
        <v>0</v>
      </c>
      <c r="I30" s="7">
        <v>1</v>
      </c>
      <c r="J30" s="7">
        <v>2</v>
      </c>
      <c r="K30" s="7">
        <v>13</v>
      </c>
      <c r="L30" s="7">
        <v>22</v>
      </c>
      <c r="M30" s="7">
        <v>30</v>
      </c>
    </row>
    <row r="31" spans="1:13" x14ac:dyDescent="0.2">
      <c r="A31" s="5">
        <v>27</v>
      </c>
      <c r="B31" s="7">
        <v>37</v>
      </c>
      <c r="C31" s="7">
        <v>31</v>
      </c>
      <c r="D31" s="7">
        <v>22</v>
      </c>
      <c r="E31" s="7">
        <v>13</v>
      </c>
      <c r="F31" s="7">
        <v>2</v>
      </c>
      <c r="G31" s="7">
        <v>0</v>
      </c>
      <c r="H31" s="7">
        <v>0</v>
      </c>
      <c r="I31" s="7">
        <v>0</v>
      </c>
      <c r="J31" s="7">
        <v>3</v>
      </c>
      <c r="K31" s="7">
        <v>13</v>
      </c>
      <c r="L31" s="7">
        <v>25</v>
      </c>
      <c r="M31" s="7">
        <v>29</v>
      </c>
    </row>
    <row r="32" spans="1:13" x14ac:dyDescent="0.2">
      <c r="A32" s="5">
        <v>28</v>
      </c>
      <c r="B32" s="7">
        <v>37</v>
      </c>
      <c r="C32" s="7">
        <v>31</v>
      </c>
      <c r="D32" s="7">
        <v>19</v>
      </c>
      <c r="E32" s="7">
        <v>13</v>
      </c>
      <c r="F32" s="7">
        <v>1</v>
      </c>
      <c r="G32" s="7">
        <v>0</v>
      </c>
      <c r="H32" s="7">
        <v>0</v>
      </c>
      <c r="I32" s="7">
        <v>0</v>
      </c>
      <c r="J32" s="7">
        <v>4</v>
      </c>
      <c r="K32" s="7">
        <v>14</v>
      </c>
      <c r="L32" s="7">
        <v>27</v>
      </c>
      <c r="M32" s="7">
        <v>31</v>
      </c>
    </row>
    <row r="33" spans="1:13" x14ac:dyDescent="0.2">
      <c r="A33" s="5">
        <v>29</v>
      </c>
      <c r="B33" s="7">
        <v>38</v>
      </c>
      <c r="C33" s="7">
        <v>34.321428571428569</v>
      </c>
      <c r="D33" s="7">
        <v>22</v>
      </c>
      <c r="E33" s="7">
        <v>12</v>
      </c>
      <c r="F33" s="7">
        <v>1</v>
      </c>
      <c r="G33" s="7">
        <v>0</v>
      </c>
      <c r="H33" s="7">
        <v>0</v>
      </c>
      <c r="I33" s="7">
        <v>0</v>
      </c>
      <c r="J33" s="7">
        <v>5</v>
      </c>
      <c r="K33" s="7">
        <v>16</v>
      </c>
      <c r="L33" s="7">
        <v>24</v>
      </c>
      <c r="M33" s="7">
        <v>31</v>
      </c>
    </row>
    <row r="34" spans="1:13" x14ac:dyDescent="0.2">
      <c r="A34" s="5">
        <v>30</v>
      </c>
      <c r="B34" s="7">
        <v>40</v>
      </c>
      <c r="C34" s="7">
        <v>0</v>
      </c>
      <c r="D34" s="7">
        <v>20</v>
      </c>
      <c r="E34" s="7">
        <v>10</v>
      </c>
      <c r="F34" s="7">
        <v>1</v>
      </c>
      <c r="G34" s="7">
        <v>0</v>
      </c>
      <c r="H34" s="7">
        <v>0</v>
      </c>
      <c r="I34" s="7">
        <v>1</v>
      </c>
      <c r="J34" s="7">
        <v>7</v>
      </c>
      <c r="K34" s="7">
        <v>15</v>
      </c>
      <c r="L34" s="7">
        <v>22</v>
      </c>
      <c r="M34" s="7">
        <v>31</v>
      </c>
    </row>
    <row r="35" spans="1:13" x14ac:dyDescent="0.2">
      <c r="A35" s="5">
        <v>31</v>
      </c>
      <c r="B35" s="7">
        <v>37</v>
      </c>
      <c r="C35" s="7">
        <v>0</v>
      </c>
      <c r="D35" s="7">
        <v>18</v>
      </c>
      <c r="E35" s="7">
        <v>0</v>
      </c>
      <c r="F35" s="7">
        <v>3</v>
      </c>
      <c r="G35" s="7">
        <v>0</v>
      </c>
      <c r="H35" s="7">
        <v>0</v>
      </c>
      <c r="I35" s="7">
        <v>1</v>
      </c>
      <c r="J35" s="7">
        <v>0</v>
      </c>
      <c r="K35" s="7">
        <v>16</v>
      </c>
      <c r="L35" s="7">
        <v>0</v>
      </c>
      <c r="M35" s="7">
        <v>31</v>
      </c>
    </row>
    <row r="36" spans="1:13" x14ac:dyDescent="0.2">
      <c r="A36" s="4" t="s">
        <v>14</v>
      </c>
      <c r="B36" s="8">
        <f t="shared" ref="B36:M36" si="0">SUM(B5:B35)</f>
        <v>1105</v>
      </c>
      <c r="C36" s="8">
        <f t="shared" si="0"/>
        <v>995.32142857142856</v>
      </c>
      <c r="D36" s="8">
        <f t="shared" si="0"/>
        <v>724</v>
      </c>
      <c r="E36" s="8">
        <f t="shared" si="0"/>
        <v>415</v>
      </c>
      <c r="F36" s="8">
        <f t="shared" si="0"/>
        <v>167</v>
      </c>
      <c r="G36" s="8">
        <f t="shared" si="0"/>
        <v>18</v>
      </c>
      <c r="H36" s="8">
        <f t="shared" si="0"/>
        <v>2</v>
      </c>
      <c r="I36" s="8">
        <f t="shared" si="0"/>
        <v>5</v>
      </c>
      <c r="J36" s="8">
        <f t="shared" si="0"/>
        <v>63</v>
      </c>
      <c r="K36" s="8">
        <f t="shared" si="0"/>
        <v>307</v>
      </c>
      <c r="L36" s="8">
        <f t="shared" si="0"/>
        <v>625</v>
      </c>
      <c r="M36" s="8">
        <f t="shared" si="0"/>
        <v>928</v>
      </c>
    </row>
    <row r="38" spans="1:13" x14ac:dyDescent="0.2">
      <c r="K38" s="2" t="s">
        <v>12</v>
      </c>
      <c r="M38" s="7">
        <f>SUM(B36:M36)</f>
        <v>5354.3214285714284</v>
      </c>
    </row>
    <row r="40" spans="1:13" ht="3.75" customHeight="1" x14ac:dyDescent="0.2"/>
    <row r="41" spans="1:13" ht="3.75" customHeight="1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3.75" customHeight="1" x14ac:dyDescent="0.2"/>
    <row r="43" spans="1:13" ht="3.75" customHeight="1" x14ac:dyDescent="0.2"/>
    <row r="44" spans="1:13" ht="3.75" customHeight="1" x14ac:dyDescent="0.2"/>
    <row r="45" spans="1:13" ht="3.75" customHeight="1" x14ac:dyDescent="0.2"/>
    <row r="46" spans="1:13" ht="3.75" customHeight="1" x14ac:dyDescent="0.2"/>
    <row r="47" spans="1:13" ht="3.75" customHeight="1" x14ac:dyDescent="0.2"/>
    <row r="48" spans="1:13" ht="3.75" customHeight="1" x14ac:dyDescent="0.2"/>
    <row r="49" s="2" customFormat="1" ht="3.75" customHeight="1" x14ac:dyDescent="0.2"/>
    <row r="50" s="2" customFormat="1" ht="3.75" customHeight="1" x14ac:dyDescent="0.2"/>
    <row r="51" s="2" customFormat="1" ht="3.75" customHeight="1" x14ac:dyDescent="0.2"/>
    <row r="52" s="2" customFormat="1" ht="3.75" customHeight="1" x14ac:dyDescent="0.2"/>
    <row r="53" s="2" customFormat="1" ht="3.75" customHeight="1" x14ac:dyDescent="0.2"/>
    <row r="54" s="2" customFormat="1" ht="3.75" customHeight="1" x14ac:dyDescent="0.2"/>
    <row r="55" s="2" customFormat="1" ht="3.75" customHeight="1" x14ac:dyDescent="0.2"/>
    <row r="56" s="2" customFormat="1" ht="3.75" customHeight="1" x14ac:dyDescent="0.2"/>
    <row r="57" s="2" customFormat="1" ht="3.75" customHeight="1" x14ac:dyDescent="0.2"/>
    <row r="58" s="2" customFormat="1" ht="3.75" customHeight="1" x14ac:dyDescent="0.2"/>
    <row r="59" s="2" customFormat="1" ht="3.75" customHeight="1" x14ac:dyDescent="0.2"/>
    <row r="60" s="2" customFormat="1" ht="3.75" customHeight="1" x14ac:dyDescent="0.2"/>
    <row r="61" s="2" customFormat="1" ht="3.75" customHeight="1" x14ac:dyDescent="0.2"/>
    <row r="62" s="2" customFormat="1" ht="3.75" customHeight="1" x14ac:dyDescent="0.2"/>
    <row r="65" s="2" customFormat="1" ht="3" customHeight="1" x14ac:dyDescent="0.2"/>
    <row r="66" s="2" customFormat="1" ht="3" customHeight="1" x14ac:dyDescent="0.2"/>
    <row r="67" s="2" customFormat="1" ht="3" customHeight="1" x14ac:dyDescent="0.2"/>
    <row r="68" s="2" customFormat="1" ht="3" customHeight="1" x14ac:dyDescent="0.2"/>
    <row r="69" s="2" customFormat="1" ht="3" customHeight="1" x14ac:dyDescent="0.2"/>
    <row r="70" s="2" customFormat="1" ht="3" customHeight="1" x14ac:dyDescent="0.2"/>
    <row r="71" s="2" customFormat="1" ht="3" customHeight="1" x14ac:dyDescent="0.2"/>
    <row r="72" s="2" customFormat="1" ht="3" customHeight="1" x14ac:dyDescent="0.2"/>
    <row r="73" s="2" customFormat="1" ht="3" customHeight="1" x14ac:dyDescent="0.2"/>
    <row r="74" s="2" customFormat="1" ht="3" customHeight="1" x14ac:dyDescent="0.2"/>
    <row r="75" s="2" customFormat="1" ht="3" customHeight="1" x14ac:dyDescent="0.2"/>
    <row r="76" s="2" customFormat="1" ht="3" customHeight="1" x14ac:dyDescent="0.2"/>
    <row r="77" s="2" customFormat="1" ht="3" customHeight="1" x14ac:dyDescent="0.2"/>
    <row r="78" s="2" customFormat="1" ht="3" customHeight="1" x14ac:dyDescent="0.2"/>
    <row r="79" s="2" customFormat="1" ht="3" customHeight="1" x14ac:dyDescent="0.2"/>
    <row r="80" s="2" customFormat="1" ht="3" customHeight="1" x14ac:dyDescent="0.2"/>
    <row r="81" s="2" customFormat="1" ht="3" customHeight="1" x14ac:dyDescent="0.2"/>
    <row r="82" s="2" customFormat="1" ht="3" customHeight="1" x14ac:dyDescent="0.2"/>
    <row r="83" s="2" customFormat="1" ht="3" customHeight="1" x14ac:dyDescent="0.2"/>
    <row r="84" s="2" customFormat="1" ht="3" customHeight="1" x14ac:dyDescent="0.2"/>
    <row r="85" s="2" customFormat="1" ht="3" customHeight="1" x14ac:dyDescent="0.2"/>
    <row r="86" s="2" customFormat="1" ht="3" customHeight="1" x14ac:dyDescent="0.2"/>
    <row r="87" s="2" customFormat="1" ht="3" customHeight="1" x14ac:dyDescent="0.2"/>
    <row r="88" s="2" customFormat="1" ht="3" customHeight="1" x14ac:dyDescent="0.2"/>
    <row r="89" s="2" customFormat="1" ht="3" customHeight="1" x14ac:dyDescent="0.2"/>
    <row r="90" s="2" customFormat="1" ht="3" customHeight="1" x14ac:dyDescent="0.2"/>
    <row r="91" s="2" customFormat="1" ht="3" customHeight="1" x14ac:dyDescent="0.2"/>
    <row r="92" s="2" customFormat="1" ht="3" customHeight="1" x14ac:dyDescent="0.2"/>
    <row r="93" s="2" customFormat="1" ht="3" customHeight="1" x14ac:dyDescent="0.2"/>
    <row r="96" s="2" customFormat="1" ht="3" customHeight="1" x14ac:dyDescent="0.2"/>
    <row r="97" s="2" customFormat="1" ht="3" customHeight="1" x14ac:dyDescent="0.2"/>
    <row r="98" s="2" customFormat="1" ht="3" customHeight="1" x14ac:dyDescent="0.2"/>
    <row r="99" s="2" customFormat="1" ht="3" customHeight="1" x14ac:dyDescent="0.2"/>
    <row r="100" s="2" customFormat="1" ht="3" customHeight="1" x14ac:dyDescent="0.2"/>
    <row r="101" s="2" customFormat="1" ht="3" customHeight="1" x14ac:dyDescent="0.2"/>
    <row r="102" s="2" customFormat="1" ht="3" customHeight="1" x14ac:dyDescent="0.2"/>
    <row r="103" s="2" customFormat="1" ht="3" customHeight="1" x14ac:dyDescent="0.2"/>
    <row r="104" s="2" customFormat="1" ht="3" customHeight="1" x14ac:dyDescent="0.2"/>
    <row r="105" s="2" customFormat="1" ht="3" customHeight="1" x14ac:dyDescent="0.2"/>
    <row r="106" s="2" customFormat="1" ht="3" customHeight="1" x14ac:dyDescent="0.2"/>
    <row r="107" s="2" customFormat="1" ht="3" customHeight="1" x14ac:dyDescent="0.2"/>
    <row r="108" s="2" customFormat="1" ht="3" customHeight="1" x14ac:dyDescent="0.2"/>
    <row r="109" s="2" customFormat="1" ht="3" customHeight="1" x14ac:dyDescent="0.2"/>
    <row r="110" s="2" customFormat="1" ht="3" customHeight="1" x14ac:dyDescent="0.2"/>
    <row r="111" s="2" customFormat="1" ht="3" customHeight="1" x14ac:dyDescent="0.2"/>
    <row r="112" s="2" customFormat="1" ht="3" customHeight="1" x14ac:dyDescent="0.2"/>
    <row r="113" s="2" customFormat="1" ht="3" customHeight="1" x14ac:dyDescent="0.2"/>
    <row r="114" s="2" customFormat="1" ht="3" customHeight="1" x14ac:dyDescent="0.2"/>
    <row r="115" s="2" customFormat="1" ht="3" customHeight="1" x14ac:dyDescent="0.2"/>
    <row r="116" s="2" customFormat="1" ht="3" customHeight="1" x14ac:dyDescent="0.2"/>
    <row r="117" s="2" customFormat="1" ht="3" customHeight="1" x14ac:dyDescent="0.2"/>
    <row r="118" s="2" customFormat="1" ht="3" customHeight="1" x14ac:dyDescent="0.2"/>
    <row r="119" s="2" customFormat="1" ht="3" customHeight="1" x14ac:dyDescent="0.2"/>
    <row r="120" s="2" customFormat="1" ht="3" customHeight="1" x14ac:dyDescent="0.2"/>
    <row r="121" s="2" customFormat="1" ht="3" customHeight="1" x14ac:dyDescent="0.2"/>
    <row r="122" s="2" customFormat="1" ht="3" customHeight="1" x14ac:dyDescent="0.2"/>
    <row r="123" s="2" customFormat="1" ht="3" customHeight="1" x14ac:dyDescent="0.2"/>
    <row r="126" s="2" customFormat="1" ht="2.25" customHeight="1" x14ac:dyDescent="0.2"/>
    <row r="127" s="2" customFormat="1" ht="2.25" customHeight="1" x14ac:dyDescent="0.2"/>
    <row r="128" s="2" customFormat="1" ht="2.25" customHeight="1" x14ac:dyDescent="0.2"/>
    <row r="129" s="2" customFormat="1" ht="2.25" customHeight="1" x14ac:dyDescent="0.2"/>
    <row r="130" s="2" customFormat="1" ht="2.25" customHeight="1" x14ac:dyDescent="0.2"/>
    <row r="131" s="2" customFormat="1" ht="2.25" customHeight="1" x14ac:dyDescent="0.2"/>
    <row r="132" s="2" customFormat="1" ht="2.25" customHeight="1" x14ac:dyDescent="0.2"/>
    <row r="133" s="2" customFormat="1" ht="2.25" customHeight="1" x14ac:dyDescent="0.2"/>
    <row r="134" s="2" customFormat="1" ht="2.25" customHeight="1" x14ac:dyDescent="0.2"/>
    <row r="135" s="2" customFormat="1" ht="2.25" customHeight="1" x14ac:dyDescent="0.2"/>
    <row r="136" s="2" customFormat="1" ht="2.25" customHeight="1" x14ac:dyDescent="0.2"/>
    <row r="137" s="2" customFormat="1" ht="2.25" customHeight="1" x14ac:dyDescent="0.2"/>
    <row r="138" s="2" customFormat="1" ht="2.25" customHeight="1" x14ac:dyDescent="0.2"/>
    <row r="139" s="2" customFormat="1" ht="2.25" customHeight="1" x14ac:dyDescent="0.2"/>
    <row r="140" s="2" customFormat="1" ht="2.25" customHeight="1" x14ac:dyDescent="0.2"/>
    <row r="141" s="2" customFormat="1" ht="2.25" customHeight="1" x14ac:dyDescent="0.2"/>
    <row r="142" s="2" customFormat="1" ht="2.25" customHeight="1" x14ac:dyDescent="0.2"/>
    <row r="143" s="2" customFormat="1" ht="2.25" customHeight="1" x14ac:dyDescent="0.2"/>
    <row r="144" s="2" customFormat="1" ht="2.25" customHeight="1" x14ac:dyDescent="0.2"/>
    <row r="145" s="2" customFormat="1" ht="2.25" customHeight="1" x14ac:dyDescent="0.2"/>
    <row r="146" s="2" customFormat="1" ht="2.25" customHeight="1" x14ac:dyDescent="0.2"/>
    <row r="147" s="2" customFormat="1" ht="2.25" customHeight="1" x14ac:dyDescent="0.2"/>
    <row r="148" s="2" customFormat="1" ht="2.25" customHeight="1" x14ac:dyDescent="0.2"/>
    <row r="149" s="2" customFormat="1" ht="2.25" customHeight="1" x14ac:dyDescent="0.2"/>
    <row r="150" s="2" customFormat="1" ht="2.25" customHeight="1" x14ac:dyDescent="0.2"/>
    <row r="151" s="2" customFormat="1" ht="2.25" customHeight="1" x14ac:dyDescent="0.2"/>
    <row r="152" s="2" customFormat="1" ht="2.25" customHeight="1" x14ac:dyDescent="0.2"/>
    <row r="153" s="2" customFormat="1" ht="2.25" customHeight="1" x14ac:dyDescent="0.2"/>
    <row r="154" s="2" customFormat="1" ht="2.25" customHeight="1" x14ac:dyDescent="0.2"/>
    <row r="157" s="2" customFormat="1" ht="2.25" customHeight="1" x14ac:dyDescent="0.2"/>
    <row r="158" s="2" customFormat="1" ht="2.25" customHeight="1" x14ac:dyDescent="0.2"/>
    <row r="159" s="2" customFormat="1" ht="2.25" customHeight="1" x14ac:dyDescent="0.2"/>
    <row r="160" s="2" customFormat="1" ht="2.25" customHeight="1" x14ac:dyDescent="0.2"/>
    <row r="161" s="2" customFormat="1" ht="2.25" customHeight="1" x14ac:dyDescent="0.2"/>
    <row r="162" s="2" customFormat="1" ht="2.25" customHeight="1" x14ac:dyDescent="0.2"/>
    <row r="163" s="2" customFormat="1" ht="2.25" customHeight="1" x14ac:dyDescent="0.2"/>
    <row r="164" s="2" customFormat="1" ht="2.25" customHeight="1" x14ac:dyDescent="0.2"/>
    <row r="165" s="2" customFormat="1" ht="2.25" customHeight="1" x14ac:dyDescent="0.2"/>
    <row r="166" s="2" customFormat="1" ht="2.25" customHeight="1" x14ac:dyDescent="0.2"/>
    <row r="167" s="2" customFormat="1" ht="2.25" customHeight="1" x14ac:dyDescent="0.2"/>
    <row r="168" s="2" customFormat="1" ht="2.25" customHeight="1" x14ac:dyDescent="0.2"/>
    <row r="169" s="2" customFormat="1" ht="2.25" customHeight="1" x14ac:dyDescent="0.2"/>
    <row r="170" s="2" customFormat="1" ht="2.25" customHeight="1" x14ac:dyDescent="0.2"/>
    <row r="171" s="2" customFormat="1" ht="2.25" customHeight="1" x14ac:dyDescent="0.2"/>
    <row r="172" s="2" customFormat="1" ht="2.25" customHeight="1" x14ac:dyDescent="0.2"/>
    <row r="173" s="2" customFormat="1" ht="2.25" customHeight="1" x14ac:dyDescent="0.2"/>
    <row r="174" s="2" customFormat="1" ht="2.25" customHeight="1" x14ac:dyDescent="0.2"/>
    <row r="175" s="2" customFormat="1" ht="2.25" customHeight="1" x14ac:dyDescent="0.2"/>
    <row r="176" s="2" customFormat="1" ht="2.25" customHeight="1" x14ac:dyDescent="0.2"/>
    <row r="177" s="2" customFormat="1" ht="2.25" customHeight="1" x14ac:dyDescent="0.2"/>
    <row r="178" s="2" customFormat="1" ht="2.25" customHeight="1" x14ac:dyDescent="0.2"/>
    <row r="179" s="2" customFormat="1" ht="2.25" customHeight="1" x14ac:dyDescent="0.2"/>
    <row r="180" s="2" customFormat="1" ht="2.25" customHeight="1" x14ac:dyDescent="0.2"/>
    <row r="181" s="2" customFormat="1" ht="2.25" customHeight="1" x14ac:dyDescent="0.2"/>
    <row r="182" s="2" customFormat="1" ht="2.25" customHeight="1" x14ac:dyDescent="0.2"/>
    <row r="183" s="2" customFormat="1" ht="2.25" customHeight="1" x14ac:dyDescent="0.2"/>
    <row r="184" s="2" customFormat="1" ht="2.25" customHeight="1" x14ac:dyDescent="0.2"/>
    <row r="187" s="2" customFormat="1" ht="1.5" customHeight="1" x14ac:dyDescent="0.2"/>
    <row r="188" s="2" customFormat="1" ht="1.5" customHeight="1" x14ac:dyDescent="0.2"/>
    <row r="189" s="2" customFormat="1" ht="1.5" customHeight="1" x14ac:dyDescent="0.2"/>
    <row r="190" s="2" customFormat="1" ht="1.5" customHeight="1" x14ac:dyDescent="0.2"/>
    <row r="191" s="2" customFormat="1" ht="1.5" customHeight="1" x14ac:dyDescent="0.2"/>
    <row r="192" s="2" customFormat="1" ht="1.5" customHeight="1" x14ac:dyDescent="0.2"/>
    <row r="193" s="2" customFormat="1" ht="1.5" customHeight="1" x14ac:dyDescent="0.2"/>
    <row r="194" s="2" customFormat="1" ht="1.5" customHeight="1" x14ac:dyDescent="0.2"/>
    <row r="195" s="2" customFormat="1" ht="1.5" customHeight="1" x14ac:dyDescent="0.2"/>
    <row r="196" s="2" customFormat="1" ht="1.5" customHeight="1" x14ac:dyDescent="0.2"/>
    <row r="197" s="2" customFormat="1" ht="1.5" customHeight="1" x14ac:dyDescent="0.2"/>
    <row r="198" s="2" customFormat="1" ht="1.5" customHeight="1" x14ac:dyDescent="0.2"/>
    <row r="199" s="2" customFormat="1" ht="1.5" customHeight="1" x14ac:dyDescent="0.2"/>
    <row r="200" s="2" customFormat="1" ht="1.5" customHeight="1" x14ac:dyDescent="0.2"/>
    <row r="201" s="2" customFormat="1" ht="1.5" customHeight="1" x14ac:dyDescent="0.2"/>
    <row r="202" s="2" customFormat="1" ht="1.5" customHeight="1" x14ac:dyDescent="0.2"/>
    <row r="203" s="2" customFormat="1" ht="1.5" customHeight="1" x14ac:dyDescent="0.2"/>
    <row r="204" s="2" customFormat="1" ht="1.5" customHeight="1" x14ac:dyDescent="0.2"/>
    <row r="205" s="2" customFormat="1" ht="1.5" customHeight="1" x14ac:dyDescent="0.2"/>
    <row r="206" s="2" customFormat="1" ht="1.5" customHeight="1" x14ac:dyDescent="0.2"/>
    <row r="207" s="2" customFormat="1" ht="1.5" customHeight="1" x14ac:dyDescent="0.2"/>
    <row r="208" s="2" customFormat="1" ht="1.5" customHeight="1" x14ac:dyDescent="0.2"/>
    <row r="209" s="2" customFormat="1" ht="1.5" customHeight="1" x14ac:dyDescent="0.2"/>
    <row r="210" s="2" customFormat="1" ht="1.5" customHeight="1" x14ac:dyDescent="0.2"/>
    <row r="211" s="2" customFormat="1" ht="1.5" customHeight="1" x14ac:dyDescent="0.2"/>
    <row r="212" s="2" customFormat="1" ht="1.5" customHeight="1" x14ac:dyDescent="0.2"/>
    <row r="213" s="2" customFormat="1" ht="1.5" customHeight="1" x14ac:dyDescent="0.2"/>
    <row r="214" s="2" customFormat="1" ht="1.5" customHeight="1" x14ac:dyDescent="0.2"/>
    <row r="215" s="2" customFormat="1" ht="1.5" customHeight="1" x14ac:dyDescent="0.2"/>
    <row r="218" s="2" customFormat="1" ht="3.75" customHeight="1" x14ac:dyDescent="0.2"/>
    <row r="219" s="2" customFormat="1" ht="3.75" customHeight="1" x14ac:dyDescent="0.2"/>
    <row r="220" s="2" customFormat="1" ht="3.75" customHeight="1" x14ac:dyDescent="0.2"/>
    <row r="221" s="2" customFormat="1" ht="3.75" customHeight="1" x14ac:dyDescent="0.2"/>
    <row r="222" s="2" customFormat="1" ht="3.75" customHeight="1" x14ac:dyDescent="0.2"/>
    <row r="223" s="2" customFormat="1" ht="3.75" customHeight="1" x14ac:dyDescent="0.2"/>
    <row r="224" s="2" customFormat="1" ht="3.75" customHeight="1" x14ac:dyDescent="0.2"/>
    <row r="225" s="2" customFormat="1" ht="3.75" customHeight="1" x14ac:dyDescent="0.2"/>
    <row r="226" s="2" customFormat="1" ht="3.75" customHeight="1" x14ac:dyDescent="0.2"/>
    <row r="227" s="2" customFormat="1" ht="3.75" customHeight="1" x14ac:dyDescent="0.2"/>
    <row r="228" s="2" customFormat="1" ht="3.75" customHeight="1" x14ac:dyDescent="0.2"/>
    <row r="229" s="2" customFormat="1" ht="3.75" customHeight="1" x14ac:dyDescent="0.2"/>
    <row r="230" s="2" customFormat="1" ht="3.75" customHeight="1" x14ac:dyDescent="0.2"/>
    <row r="231" s="2" customFormat="1" ht="3.75" customHeight="1" x14ac:dyDescent="0.2"/>
    <row r="232" s="2" customFormat="1" ht="3.75" customHeight="1" x14ac:dyDescent="0.2"/>
    <row r="233" s="2" customFormat="1" ht="3.75" customHeight="1" x14ac:dyDescent="0.2"/>
    <row r="234" s="2" customFormat="1" ht="3.75" customHeight="1" x14ac:dyDescent="0.2"/>
    <row r="235" s="2" customFormat="1" ht="3.75" customHeight="1" x14ac:dyDescent="0.2"/>
    <row r="236" s="2" customFormat="1" ht="3.75" customHeight="1" x14ac:dyDescent="0.2"/>
    <row r="237" s="2" customFormat="1" ht="3.75" customHeight="1" x14ac:dyDescent="0.2"/>
    <row r="238" s="2" customFormat="1" ht="3.75" customHeight="1" x14ac:dyDescent="0.2"/>
    <row r="239" s="2" customFormat="1" ht="3.75" customHeight="1" x14ac:dyDescent="0.2"/>
    <row r="240" s="2" customFormat="1" ht="3.75" customHeight="1" x14ac:dyDescent="0.2"/>
    <row r="241" s="2" customFormat="1" ht="3.75" customHeight="1" x14ac:dyDescent="0.2"/>
    <row r="242" s="2" customFormat="1" ht="3.75" customHeight="1" x14ac:dyDescent="0.2"/>
    <row r="243" s="2" customFormat="1" ht="3.75" customHeight="1" x14ac:dyDescent="0.2"/>
    <row r="244" s="2" customFormat="1" ht="3.75" customHeight="1" x14ac:dyDescent="0.2"/>
    <row r="245" s="2" customFormat="1" ht="3.75" customHeight="1" x14ac:dyDescent="0.2"/>
    <row r="246" s="2" customFormat="1" ht="3.75" customHeight="1" x14ac:dyDescent="0.2"/>
    <row r="249" s="2" customFormat="1" ht="2.25" customHeight="1" x14ac:dyDescent="0.2"/>
    <row r="250" s="2" customFormat="1" ht="2.25" customHeight="1" x14ac:dyDescent="0.2"/>
    <row r="251" s="2" customFormat="1" ht="2.25" customHeight="1" x14ac:dyDescent="0.2"/>
    <row r="252" s="2" customFormat="1" ht="2.25" customHeight="1" x14ac:dyDescent="0.2"/>
    <row r="253" s="2" customFormat="1" ht="2.25" customHeight="1" x14ac:dyDescent="0.2"/>
    <row r="254" s="2" customFormat="1" ht="2.25" customHeight="1" x14ac:dyDescent="0.2"/>
    <row r="255" s="2" customFormat="1" ht="2.25" customHeight="1" x14ac:dyDescent="0.2"/>
    <row r="256" s="2" customFormat="1" ht="2.25" customHeight="1" x14ac:dyDescent="0.2"/>
    <row r="257" s="2" customFormat="1" ht="2.25" customHeight="1" x14ac:dyDescent="0.2"/>
    <row r="258" s="2" customFormat="1" ht="2.25" customHeight="1" x14ac:dyDescent="0.2"/>
    <row r="259" s="2" customFormat="1" ht="2.25" customHeight="1" x14ac:dyDescent="0.2"/>
    <row r="260" s="2" customFormat="1" ht="2.25" customHeight="1" x14ac:dyDescent="0.2"/>
    <row r="261" s="2" customFormat="1" ht="2.25" customHeight="1" x14ac:dyDescent="0.2"/>
    <row r="262" s="2" customFormat="1" ht="2.25" customHeight="1" x14ac:dyDescent="0.2"/>
    <row r="263" s="2" customFormat="1" ht="2.25" customHeight="1" x14ac:dyDescent="0.2"/>
    <row r="264" s="2" customFormat="1" ht="2.25" customHeight="1" x14ac:dyDescent="0.2"/>
    <row r="265" s="2" customFormat="1" ht="2.25" customHeight="1" x14ac:dyDescent="0.2"/>
    <row r="266" s="2" customFormat="1" ht="2.25" customHeight="1" x14ac:dyDescent="0.2"/>
    <row r="267" s="2" customFormat="1" ht="2.25" customHeight="1" x14ac:dyDescent="0.2"/>
    <row r="268" s="2" customFormat="1" ht="2.25" customHeight="1" x14ac:dyDescent="0.2"/>
    <row r="269" s="2" customFormat="1" ht="2.25" customHeight="1" x14ac:dyDescent="0.2"/>
    <row r="270" s="2" customFormat="1" ht="2.25" customHeight="1" x14ac:dyDescent="0.2"/>
    <row r="271" s="2" customFormat="1" ht="2.25" customHeight="1" x14ac:dyDescent="0.2"/>
    <row r="272" s="2" customFormat="1" ht="2.25" customHeight="1" x14ac:dyDescent="0.2"/>
    <row r="273" s="2" customFormat="1" ht="2.25" customHeight="1" x14ac:dyDescent="0.2"/>
    <row r="274" s="2" customFormat="1" ht="2.25" customHeight="1" x14ac:dyDescent="0.2"/>
    <row r="275" s="2" customFormat="1" ht="2.25" customHeight="1" x14ac:dyDescent="0.2"/>
    <row r="276" s="2" customFormat="1" ht="2.25" customHeight="1" x14ac:dyDescent="0.2"/>
    <row r="279" s="2" customFormat="1" ht="1.5" customHeight="1" x14ac:dyDescent="0.2"/>
    <row r="280" s="2" customFormat="1" ht="1.5" customHeight="1" x14ac:dyDescent="0.2"/>
    <row r="281" s="2" customFormat="1" ht="1.5" customHeight="1" x14ac:dyDescent="0.2"/>
    <row r="282" s="2" customFormat="1" ht="1.5" customHeight="1" x14ac:dyDescent="0.2"/>
    <row r="283" s="2" customFormat="1" ht="1.5" customHeight="1" x14ac:dyDescent="0.2"/>
    <row r="284" s="2" customFormat="1" ht="1.5" customHeight="1" x14ac:dyDescent="0.2"/>
    <row r="285" s="2" customFormat="1" ht="1.5" customHeight="1" x14ac:dyDescent="0.2"/>
    <row r="286" s="2" customFormat="1" ht="1.5" customHeight="1" x14ac:dyDescent="0.2"/>
    <row r="287" s="2" customFormat="1" ht="1.5" customHeight="1" x14ac:dyDescent="0.2"/>
    <row r="288" s="2" customFormat="1" ht="1.5" customHeight="1" x14ac:dyDescent="0.2"/>
    <row r="289" s="2" customFormat="1" ht="1.5" customHeight="1" x14ac:dyDescent="0.2"/>
    <row r="290" s="2" customFormat="1" ht="1.5" customHeight="1" x14ac:dyDescent="0.2"/>
    <row r="291" s="2" customFormat="1" ht="1.5" customHeight="1" x14ac:dyDescent="0.2"/>
    <row r="292" s="2" customFormat="1" ht="1.5" customHeight="1" x14ac:dyDescent="0.2"/>
    <row r="293" s="2" customFormat="1" ht="1.5" customHeight="1" x14ac:dyDescent="0.2"/>
    <row r="294" s="2" customFormat="1" ht="1.5" customHeight="1" x14ac:dyDescent="0.2"/>
    <row r="295" s="2" customFormat="1" ht="1.5" customHeight="1" x14ac:dyDescent="0.2"/>
    <row r="296" s="2" customFormat="1" ht="1.5" customHeight="1" x14ac:dyDescent="0.2"/>
    <row r="297" s="2" customFormat="1" ht="1.5" customHeight="1" x14ac:dyDescent="0.2"/>
    <row r="298" s="2" customFormat="1" ht="1.5" customHeight="1" x14ac:dyDescent="0.2"/>
    <row r="299" s="2" customFormat="1" ht="1.5" customHeight="1" x14ac:dyDescent="0.2"/>
    <row r="300" s="2" customFormat="1" ht="1.5" customHeight="1" x14ac:dyDescent="0.2"/>
    <row r="301" s="2" customFormat="1" ht="1.5" customHeight="1" x14ac:dyDescent="0.2"/>
    <row r="302" s="2" customFormat="1" ht="1.5" customHeight="1" x14ac:dyDescent="0.2"/>
    <row r="303" s="2" customFormat="1" ht="1.5" customHeight="1" x14ac:dyDescent="0.2"/>
    <row r="304" s="2" customFormat="1" ht="1.5" customHeight="1" x14ac:dyDescent="0.2"/>
    <row r="305" s="2" customFormat="1" ht="1.5" customHeight="1" x14ac:dyDescent="0.2"/>
    <row r="306" s="2" customFormat="1" ht="1.5" customHeight="1" x14ac:dyDescent="0.2"/>
    <row r="307" s="2" customFormat="1" ht="1.5" customHeight="1" x14ac:dyDescent="0.2"/>
    <row r="310" s="2" customFormat="1" ht="1.5" customHeight="1" x14ac:dyDescent="0.2"/>
    <row r="311" s="2" customFormat="1" ht="1.5" customHeight="1" x14ac:dyDescent="0.2"/>
    <row r="312" s="2" customFormat="1" ht="1.5" customHeight="1" x14ac:dyDescent="0.2"/>
    <row r="313" s="2" customFormat="1" ht="1.5" customHeight="1" x14ac:dyDescent="0.2"/>
    <row r="314" s="2" customFormat="1" ht="1.5" customHeight="1" x14ac:dyDescent="0.2"/>
    <row r="315" s="2" customFormat="1" ht="1.5" customHeight="1" x14ac:dyDescent="0.2"/>
    <row r="316" s="2" customFormat="1" ht="1.5" customHeight="1" x14ac:dyDescent="0.2"/>
    <row r="317" s="2" customFormat="1" ht="1.5" customHeight="1" x14ac:dyDescent="0.2"/>
    <row r="318" s="2" customFormat="1" ht="1.5" customHeight="1" x14ac:dyDescent="0.2"/>
    <row r="319" s="2" customFormat="1" ht="1.5" customHeight="1" x14ac:dyDescent="0.2"/>
    <row r="320" s="2" customFormat="1" ht="1.5" customHeight="1" x14ac:dyDescent="0.2"/>
    <row r="321" s="2" customFormat="1" ht="1.5" customHeight="1" x14ac:dyDescent="0.2"/>
    <row r="322" s="2" customFormat="1" ht="1.5" customHeight="1" x14ac:dyDescent="0.2"/>
    <row r="323" s="2" customFormat="1" ht="1.5" customHeight="1" x14ac:dyDescent="0.2"/>
    <row r="324" s="2" customFormat="1" ht="1.5" customHeight="1" x14ac:dyDescent="0.2"/>
    <row r="325" s="2" customFormat="1" ht="1.5" customHeight="1" x14ac:dyDescent="0.2"/>
    <row r="326" s="2" customFormat="1" ht="1.5" customHeight="1" x14ac:dyDescent="0.2"/>
    <row r="327" s="2" customFormat="1" ht="1.5" customHeight="1" x14ac:dyDescent="0.2"/>
    <row r="328" s="2" customFormat="1" ht="1.5" customHeight="1" x14ac:dyDescent="0.2"/>
    <row r="329" s="2" customFormat="1" ht="1.5" customHeight="1" x14ac:dyDescent="0.2"/>
    <row r="330" s="2" customFormat="1" ht="1.5" customHeight="1" x14ac:dyDescent="0.2"/>
    <row r="331" s="2" customFormat="1" ht="1.5" customHeight="1" x14ac:dyDescent="0.2"/>
    <row r="332" s="2" customFormat="1" ht="1.5" customHeight="1" x14ac:dyDescent="0.2"/>
    <row r="333" s="2" customFormat="1" ht="1.5" customHeight="1" x14ac:dyDescent="0.2"/>
    <row r="334" s="2" customFormat="1" ht="1.5" customHeight="1" x14ac:dyDescent="0.2"/>
    <row r="335" s="2" customFormat="1" ht="1.5" customHeight="1" x14ac:dyDescent="0.2"/>
    <row r="336" s="2" customFormat="1" ht="1.5" customHeight="1" x14ac:dyDescent="0.2"/>
    <row r="337" s="2" customFormat="1" ht="1.5" customHeight="1" x14ac:dyDescent="0.2"/>
    <row r="340" s="2" customFormat="1" ht="2.25" customHeight="1" x14ac:dyDescent="0.2"/>
    <row r="341" s="2" customFormat="1" ht="2.25" customHeight="1" x14ac:dyDescent="0.2"/>
    <row r="342" s="2" customFormat="1" ht="2.25" customHeight="1" x14ac:dyDescent="0.2"/>
    <row r="343" s="2" customFormat="1" ht="2.25" customHeight="1" x14ac:dyDescent="0.2"/>
    <row r="344" s="2" customFormat="1" ht="2.25" customHeight="1" x14ac:dyDescent="0.2"/>
    <row r="345" s="2" customFormat="1" ht="2.25" customHeight="1" x14ac:dyDescent="0.2"/>
    <row r="346" s="2" customFormat="1" ht="2.25" customHeight="1" x14ac:dyDescent="0.2"/>
    <row r="347" s="2" customFormat="1" ht="2.25" customHeight="1" x14ac:dyDescent="0.2"/>
    <row r="348" s="2" customFormat="1" ht="2.25" customHeight="1" x14ac:dyDescent="0.2"/>
    <row r="349" s="2" customFormat="1" ht="2.25" customHeight="1" x14ac:dyDescent="0.2"/>
    <row r="350" s="2" customFormat="1" ht="2.25" customHeight="1" x14ac:dyDescent="0.2"/>
    <row r="351" s="2" customFormat="1" ht="2.25" customHeight="1" x14ac:dyDescent="0.2"/>
    <row r="352" s="2" customFormat="1" ht="2.25" customHeight="1" x14ac:dyDescent="0.2"/>
    <row r="353" s="2" customFormat="1" ht="2.25" customHeight="1" x14ac:dyDescent="0.2"/>
    <row r="354" s="2" customFormat="1" ht="2.25" customHeight="1" x14ac:dyDescent="0.2"/>
    <row r="355" s="2" customFormat="1" ht="2.25" customHeight="1" x14ac:dyDescent="0.2"/>
    <row r="356" s="2" customFormat="1" ht="2.25" customHeight="1" x14ac:dyDescent="0.2"/>
    <row r="357" s="2" customFormat="1" ht="2.25" customHeight="1" x14ac:dyDescent="0.2"/>
    <row r="358" s="2" customFormat="1" ht="2.25" customHeight="1" x14ac:dyDescent="0.2"/>
    <row r="359" s="2" customFormat="1" ht="2.25" customHeight="1" x14ac:dyDescent="0.2"/>
    <row r="360" s="2" customFormat="1" ht="2.25" customHeight="1" x14ac:dyDescent="0.2"/>
    <row r="361" s="2" customFormat="1" ht="2.25" customHeight="1" x14ac:dyDescent="0.2"/>
    <row r="362" s="2" customFormat="1" ht="2.25" customHeight="1" x14ac:dyDescent="0.2"/>
    <row r="363" s="2" customFormat="1" ht="2.25" customHeight="1" x14ac:dyDescent="0.2"/>
    <row r="364" s="2" customFormat="1" ht="2.25" customHeight="1" x14ac:dyDescent="0.2"/>
    <row r="365" s="2" customFormat="1" ht="2.25" customHeight="1" x14ac:dyDescent="0.2"/>
    <row r="366" s="2" customFormat="1" ht="2.25" customHeight="1" x14ac:dyDescent="0.2"/>
    <row r="367" s="2" customFormat="1" ht="2.25" customHeight="1" x14ac:dyDescent="0.2"/>
    <row r="368" s="2" customFormat="1" ht="2.25" customHeight="1" x14ac:dyDescent="0.2"/>
  </sheetData>
  <phoneticPr fontId="0" type="noConversion"/>
  <pageMargins left="0.75" right="0.75" top="1" bottom="1" header="0.5" footer="0.5"/>
  <pageSetup scale="97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36"/>
  <sheetViews>
    <sheetView zoomScaleNormal="100" workbookViewId="0">
      <selection activeCell="G18" sqref="G18"/>
    </sheetView>
  </sheetViews>
  <sheetFormatPr defaultColWidth="9.33203125" defaultRowHeight="12.75" x14ac:dyDescent="0.2"/>
  <cols>
    <col min="1" max="2" width="9.33203125" style="2"/>
    <col min="3" max="3" width="9.5" style="2" customWidth="1"/>
    <col min="4" max="4" width="8.33203125" style="2" bestFit="1" customWidth="1"/>
    <col min="5" max="5" width="5.83203125" style="2" bestFit="1" customWidth="1"/>
    <col min="6" max="6" width="8.1640625" style="22" bestFit="1" customWidth="1"/>
    <col min="7" max="7" width="14.1640625" style="9" bestFit="1" customWidth="1"/>
    <col min="8" max="9" width="10.83203125" style="2" customWidth="1"/>
    <col min="10" max="10" width="11.5" style="2" hidden="1" customWidth="1"/>
    <col min="11" max="11" width="0" style="2" hidden="1" customWidth="1"/>
    <col min="12" max="12" width="10" style="2" hidden="1" customWidth="1"/>
    <col min="13" max="17" width="0" style="2" hidden="1" customWidth="1"/>
    <col min="18" max="16384" width="9.33203125" style="2"/>
  </cols>
  <sheetData>
    <row r="1" spans="1:21" ht="18" x14ac:dyDescent="0.25">
      <c r="A1" s="40" t="s">
        <v>28</v>
      </c>
      <c r="J1" s="41" t="s">
        <v>36</v>
      </c>
    </row>
    <row r="2" spans="1:21" ht="18" x14ac:dyDescent="0.25">
      <c r="A2" s="40" t="s">
        <v>22</v>
      </c>
    </row>
    <row r="4" spans="1:21" ht="51" x14ac:dyDescent="0.2">
      <c r="C4" s="5" t="s">
        <v>15</v>
      </c>
      <c r="D4" s="5" t="s">
        <v>16</v>
      </c>
      <c r="E4" s="5" t="s">
        <v>17</v>
      </c>
      <c r="F4" s="42" t="s">
        <v>34</v>
      </c>
      <c r="G4" s="43" t="s">
        <v>51</v>
      </c>
      <c r="I4" s="44"/>
      <c r="J4" s="45" t="s">
        <v>35</v>
      </c>
      <c r="K4" s="46" t="s">
        <v>38</v>
      </c>
      <c r="L4" s="46" t="s">
        <v>38</v>
      </c>
      <c r="T4" s="5"/>
      <c r="U4" s="5"/>
    </row>
    <row r="5" spans="1:21" x14ac:dyDescent="0.2">
      <c r="F5" s="47"/>
      <c r="J5" s="48"/>
      <c r="K5" s="48"/>
    </row>
    <row r="6" spans="1:21" x14ac:dyDescent="0.2">
      <c r="B6" s="2" t="s">
        <v>0</v>
      </c>
      <c r="C6" s="49">
        <v>2.3910000000000001E-2</v>
      </c>
      <c r="D6" s="49">
        <v>1.84E-2</v>
      </c>
      <c r="E6" s="7">
        <v>31</v>
      </c>
      <c r="F6" s="47">
        <f>'Weather normal east'!B36</f>
        <v>1076</v>
      </c>
      <c r="G6" s="9">
        <f>ROUND(+C6*E6+F6*D6,4)</f>
        <v>20.5396</v>
      </c>
      <c r="J6" s="50" t="e">
        <f>SUM(#REF!)</f>
        <v>#REF!</v>
      </c>
      <c r="K6" s="51"/>
      <c r="L6" s="51"/>
      <c r="M6" s="2" t="e">
        <f>#REF!</f>
        <v>#REF!</v>
      </c>
      <c r="T6" s="49"/>
      <c r="U6" s="49"/>
    </row>
    <row r="7" spans="1:21" x14ac:dyDescent="0.2">
      <c r="B7" s="2" t="s">
        <v>1</v>
      </c>
      <c r="C7" s="49">
        <v>2.469E-2</v>
      </c>
      <c r="D7" s="49">
        <v>1.84E-2</v>
      </c>
      <c r="E7" s="7">
        <v>28</v>
      </c>
      <c r="F7" s="47">
        <f>'Weather normal east'!C36</f>
        <v>972</v>
      </c>
      <c r="G7" s="9">
        <f t="shared" ref="G7:G17" si="0">ROUND(+C7*E7+F7*D7,4)</f>
        <v>18.5761</v>
      </c>
      <c r="J7" s="50" t="e">
        <f>SUM(#REF!)</f>
        <v>#REF!</v>
      </c>
      <c r="K7" s="51"/>
      <c r="L7" s="51"/>
      <c r="M7" s="2" t="e">
        <f>#REF!</f>
        <v>#REF!</v>
      </c>
      <c r="T7" s="49"/>
      <c r="U7" s="49"/>
    </row>
    <row r="8" spans="1:21" x14ac:dyDescent="0.2">
      <c r="B8" s="2" t="s">
        <v>2</v>
      </c>
      <c r="C8" s="49">
        <v>2.4247000000000001E-2</v>
      </c>
      <c r="D8" s="49">
        <v>1.6400000000000001E-2</v>
      </c>
      <c r="E8" s="7">
        <v>31</v>
      </c>
      <c r="F8" s="47">
        <f>'Weather normal east'!D36</f>
        <v>772</v>
      </c>
      <c r="G8" s="9">
        <f t="shared" si="0"/>
        <v>13.4125</v>
      </c>
      <c r="J8" s="50" t="e">
        <f>SUM(#REF!)</f>
        <v>#REF!</v>
      </c>
      <c r="K8" s="52"/>
      <c r="L8" s="52"/>
      <c r="M8" s="2" t="e">
        <f>#REF!</f>
        <v>#REF!</v>
      </c>
      <c r="T8" s="49"/>
      <c r="U8" s="49"/>
    </row>
    <row r="9" spans="1:21" x14ac:dyDescent="0.2">
      <c r="B9" s="2" t="s">
        <v>3</v>
      </c>
      <c r="C9" s="49">
        <v>2.3511000000000001E-2</v>
      </c>
      <c r="D9" s="49">
        <v>1.3899999999999999E-2</v>
      </c>
      <c r="E9" s="7">
        <v>30</v>
      </c>
      <c r="F9" s="47">
        <f>'Weather normal east'!E36</f>
        <v>435</v>
      </c>
      <c r="G9" s="9">
        <f t="shared" si="0"/>
        <v>6.7518000000000002</v>
      </c>
      <c r="J9" s="53" t="e">
        <f>SUM(#REF!)</f>
        <v>#REF!</v>
      </c>
      <c r="K9" s="54"/>
      <c r="L9" s="54"/>
      <c r="M9" s="55" t="e">
        <f>#REF!</f>
        <v>#REF!</v>
      </c>
      <c r="T9" s="49"/>
      <c r="U9" s="49"/>
    </row>
    <row r="10" spans="1:21" x14ac:dyDescent="0.2">
      <c r="B10" s="2" t="s">
        <v>4</v>
      </c>
      <c r="C10" s="49">
        <v>2.1184000000000001E-2</v>
      </c>
      <c r="D10" s="49">
        <v>1.03E-2</v>
      </c>
      <c r="E10" s="7">
        <v>31</v>
      </c>
      <c r="F10" s="47">
        <f>'Weather normal east'!F36</f>
        <v>199</v>
      </c>
      <c r="G10" s="9">
        <f t="shared" si="0"/>
        <v>2.7063999999999999</v>
      </c>
      <c r="J10" s="50" t="e">
        <f>SUM(#REF!)</f>
        <v>#REF!</v>
      </c>
      <c r="K10" s="51"/>
      <c r="L10" s="51"/>
      <c r="M10" s="2" t="e">
        <f>#REF!</f>
        <v>#REF!</v>
      </c>
      <c r="T10" s="49"/>
      <c r="U10" s="49"/>
    </row>
    <row r="11" spans="1:21" x14ac:dyDescent="0.2">
      <c r="B11" s="2" t="s">
        <v>5</v>
      </c>
      <c r="C11" s="49">
        <v>2.9685E-2</v>
      </c>
      <c r="D11" s="49">
        <v>0</v>
      </c>
      <c r="E11" s="7">
        <v>30</v>
      </c>
      <c r="F11" s="47">
        <f>'Weather normal east'!G36</f>
        <v>27</v>
      </c>
      <c r="G11" s="9">
        <f t="shared" si="0"/>
        <v>0.89059999999999995</v>
      </c>
      <c r="J11" s="50" t="e">
        <f>SUM(#REF!)</f>
        <v>#REF!</v>
      </c>
      <c r="K11" s="51"/>
      <c r="L11" s="51"/>
      <c r="M11" s="2" t="e">
        <f>#REF!</f>
        <v>#REF!</v>
      </c>
      <c r="T11" s="49"/>
      <c r="U11" s="49"/>
    </row>
    <row r="12" spans="1:21" x14ac:dyDescent="0.2">
      <c r="B12" s="2" t="s">
        <v>6</v>
      </c>
      <c r="C12" s="49">
        <v>2.9685E-2</v>
      </c>
      <c r="D12" s="49">
        <v>0</v>
      </c>
      <c r="E12" s="7">
        <v>31</v>
      </c>
      <c r="F12" s="47">
        <f>'Weather normal east'!H36</f>
        <v>3</v>
      </c>
      <c r="G12" s="9">
        <f t="shared" si="0"/>
        <v>0.92020000000000002</v>
      </c>
      <c r="J12" s="50" t="e">
        <f>SUM(#REF!)</f>
        <v>#REF!</v>
      </c>
      <c r="K12" s="51"/>
      <c r="L12" s="51"/>
      <c r="M12" s="2" t="e">
        <f>#REF!</f>
        <v>#REF!</v>
      </c>
      <c r="T12" s="49"/>
      <c r="U12" s="49"/>
    </row>
    <row r="13" spans="1:21" x14ac:dyDescent="0.2">
      <c r="B13" s="2" t="s">
        <v>7</v>
      </c>
      <c r="C13" s="49">
        <v>3.0603999999999999E-2</v>
      </c>
      <c r="D13" s="49">
        <v>0</v>
      </c>
      <c r="E13" s="7">
        <v>31</v>
      </c>
      <c r="F13" s="47">
        <f>'Weather normal east'!I36</f>
        <v>4</v>
      </c>
      <c r="G13" s="9">
        <f t="shared" si="0"/>
        <v>0.94869999999999999</v>
      </c>
      <c r="J13" s="50" t="e">
        <f>SUM(#REF!)</f>
        <v>#REF!</v>
      </c>
      <c r="K13" s="51"/>
      <c r="L13" s="51"/>
      <c r="M13" s="2" t="e">
        <f>#REF!</f>
        <v>#REF!</v>
      </c>
      <c r="T13" s="49"/>
      <c r="U13" s="49"/>
    </row>
    <row r="14" spans="1:21" x14ac:dyDescent="0.2">
      <c r="B14" s="2" t="s">
        <v>8</v>
      </c>
      <c r="C14" s="49">
        <v>2.0903999999999999E-2</v>
      </c>
      <c r="D14" s="49">
        <v>6.8999999999999999E-3</v>
      </c>
      <c r="E14" s="7">
        <v>30</v>
      </c>
      <c r="F14" s="47">
        <f>'Weather normal east'!J36</f>
        <v>58</v>
      </c>
      <c r="G14" s="9">
        <f t="shared" si="0"/>
        <v>1.0273000000000001</v>
      </c>
      <c r="J14" s="50" t="e">
        <f>SUM(#REF!)</f>
        <v>#REF!</v>
      </c>
      <c r="K14" s="51"/>
      <c r="L14" s="51"/>
      <c r="M14" s="2" t="e">
        <f>#REF!</f>
        <v>#REF!</v>
      </c>
      <c r="T14" s="49"/>
      <c r="U14" s="49"/>
    </row>
    <row r="15" spans="1:21" x14ac:dyDescent="0.2">
      <c r="B15" s="2" t="s">
        <v>9</v>
      </c>
      <c r="C15" s="49">
        <v>2.1166000000000001E-2</v>
      </c>
      <c r="D15" s="49">
        <v>6.8999999999999999E-3</v>
      </c>
      <c r="E15" s="7">
        <v>31</v>
      </c>
      <c r="F15" s="47">
        <f>'Weather normal east'!K36</f>
        <v>305</v>
      </c>
      <c r="G15" s="9">
        <f t="shared" si="0"/>
        <v>2.7606000000000002</v>
      </c>
      <c r="J15" s="50" t="e">
        <f>SUM(#REF!)</f>
        <v>#REF!</v>
      </c>
      <c r="K15" s="51"/>
      <c r="L15" s="51"/>
      <c r="M15" s="2" t="e">
        <f>#REF!</f>
        <v>#REF!</v>
      </c>
      <c r="T15" s="49"/>
      <c r="U15" s="49"/>
    </row>
    <row r="16" spans="1:21" x14ac:dyDescent="0.2">
      <c r="B16" s="2" t="s">
        <v>10</v>
      </c>
      <c r="C16" s="49">
        <v>2.1759000000000001E-2</v>
      </c>
      <c r="D16" s="49">
        <v>1.1599999999999999E-2</v>
      </c>
      <c r="E16" s="7">
        <v>30</v>
      </c>
      <c r="F16" s="47">
        <f>'Weather normal east'!L36</f>
        <v>619</v>
      </c>
      <c r="G16" s="9">
        <f t="shared" si="0"/>
        <v>7.8331999999999997</v>
      </c>
      <c r="J16" s="50" t="e">
        <f>SUM(#REF!)</f>
        <v>#REF!</v>
      </c>
      <c r="K16" s="51"/>
      <c r="L16" s="51"/>
      <c r="M16" s="2" t="e">
        <f>#REF!</f>
        <v>#REF!</v>
      </c>
      <c r="T16" s="49"/>
      <c r="U16" s="49"/>
    </row>
    <row r="17" spans="1:21" x14ac:dyDescent="0.2">
      <c r="B17" s="2" t="s">
        <v>11</v>
      </c>
      <c r="C17" s="49">
        <v>2.2734000000000001E-2</v>
      </c>
      <c r="D17" s="49">
        <v>1.61E-2</v>
      </c>
      <c r="E17" s="7">
        <v>31</v>
      </c>
      <c r="F17" s="56">
        <f>'Weather normal east'!M36</f>
        <v>900</v>
      </c>
      <c r="G17" s="9">
        <f t="shared" si="0"/>
        <v>15.194800000000001</v>
      </c>
      <c r="J17" s="57" t="e">
        <f>SUM(#REF!)</f>
        <v>#REF!</v>
      </c>
      <c r="K17" s="51"/>
      <c r="L17" s="51"/>
      <c r="M17" s="2" t="e">
        <f>#REF!</f>
        <v>#REF!</v>
      </c>
      <c r="T17" s="49"/>
      <c r="U17" s="49"/>
    </row>
    <row r="18" spans="1:21" x14ac:dyDescent="0.2">
      <c r="E18" s="8">
        <f>SUM(E6:E17)</f>
        <v>365</v>
      </c>
      <c r="F18" s="58">
        <f>SUM(F6:F17)</f>
        <v>5370</v>
      </c>
      <c r="G18" s="59">
        <f>SUM(G6:G17)</f>
        <v>91.561800000000005</v>
      </c>
      <c r="J18" s="60" t="e">
        <f t="shared" ref="J18:L18" si="1">SUM(J6:J17)</f>
        <v>#REF!</v>
      </c>
      <c r="K18" s="50">
        <f t="shared" si="1"/>
        <v>0</v>
      </c>
      <c r="L18" s="50">
        <f t="shared" si="1"/>
        <v>0</v>
      </c>
    </row>
    <row r="19" spans="1:21" ht="18" x14ac:dyDescent="0.25">
      <c r="A19" s="40" t="s">
        <v>20</v>
      </c>
      <c r="E19" s="7"/>
      <c r="F19" s="61"/>
      <c r="S19" s="62"/>
    </row>
    <row r="20" spans="1:21" x14ac:dyDescent="0.2">
      <c r="E20" s="7"/>
      <c r="F20" s="61"/>
    </row>
    <row r="21" spans="1:21" x14ac:dyDescent="0.2">
      <c r="C21" s="5" t="s">
        <v>15</v>
      </c>
      <c r="D21" s="5" t="s">
        <v>16</v>
      </c>
      <c r="E21" s="5" t="s">
        <v>17</v>
      </c>
      <c r="F21" s="47" t="s">
        <v>18</v>
      </c>
      <c r="G21" s="63" t="s">
        <v>19</v>
      </c>
      <c r="T21" s="5"/>
      <c r="U21" s="5"/>
    </row>
    <row r="22" spans="1:21" x14ac:dyDescent="0.2">
      <c r="E22" s="7"/>
      <c r="F22" s="47"/>
    </row>
    <row r="23" spans="1:21" x14ac:dyDescent="0.2">
      <c r="B23" s="2" t="s">
        <v>0</v>
      </c>
      <c r="C23" s="49">
        <v>4.5567999999999997E-2</v>
      </c>
      <c r="D23" s="49">
        <v>1.47E-2</v>
      </c>
      <c r="E23" s="7">
        <f>E6</f>
        <v>31</v>
      </c>
      <c r="F23" s="47">
        <f>F6</f>
        <v>1076</v>
      </c>
      <c r="G23" s="9">
        <f>ROUND(+C23*E23+F23*D23,4)</f>
        <v>17.229800000000001</v>
      </c>
      <c r="T23" s="49"/>
      <c r="U23" s="49"/>
    </row>
    <row r="24" spans="1:21" x14ac:dyDescent="0.2">
      <c r="B24" s="2" t="s">
        <v>1</v>
      </c>
      <c r="C24" s="49">
        <v>4.5768999999999997E-2</v>
      </c>
      <c r="D24" s="49">
        <v>1.4800000000000001E-2</v>
      </c>
      <c r="E24" s="7">
        <f t="shared" ref="E24:E34" si="2">E7</f>
        <v>28</v>
      </c>
      <c r="F24" s="47">
        <f t="shared" ref="F24:F34" si="3">F7</f>
        <v>972</v>
      </c>
      <c r="G24" s="9">
        <f t="shared" ref="G24:G34" si="4">ROUND(+C24*E24+F24*D24,4)</f>
        <v>15.6671</v>
      </c>
      <c r="T24" s="49"/>
      <c r="U24" s="49"/>
    </row>
    <row r="25" spans="1:21" x14ac:dyDescent="0.2">
      <c r="B25" s="2" t="s">
        <v>2</v>
      </c>
      <c r="C25" s="49">
        <v>4.5636000000000003E-2</v>
      </c>
      <c r="D25" s="49">
        <v>1.4E-2</v>
      </c>
      <c r="E25" s="7">
        <f t="shared" si="2"/>
        <v>31</v>
      </c>
      <c r="F25" s="47">
        <f t="shared" si="3"/>
        <v>772</v>
      </c>
      <c r="G25" s="9">
        <f t="shared" si="4"/>
        <v>12.2227</v>
      </c>
      <c r="T25" s="49"/>
      <c r="U25" s="49"/>
    </row>
    <row r="26" spans="1:21" x14ac:dyDescent="0.2">
      <c r="B26" s="2" t="s">
        <v>3</v>
      </c>
      <c r="C26" s="49">
        <v>4.5066000000000002E-2</v>
      </c>
      <c r="D26" s="49">
        <v>1.32E-2</v>
      </c>
      <c r="E26" s="7">
        <f t="shared" si="2"/>
        <v>30</v>
      </c>
      <c r="F26" s="47">
        <f t="shared" si="3"/>
        <v>435</v>
      </c>
      <c r="G26" s="9">
        <f t="shared" si="4"/>
        <v>7.0940000000000003</v>
      </c>
      <c r="T26" s="49"/>
      <c r="U26" s="49"/>
    </row>
    <row r="27" spans="1:21" x14ac:dyDescent="0.2">
      <c r="B27" s="2" t="s">
        <v>4</v>
      </c>
      <c r="C27" s="49">
        <v>4.4505999999999997E-2</v>
      </c>
      <c r="D27" s="49">
        <v>1.15E-2</v>
      </c>
      <c r="E27" s="7">
        <f t="shared" si="2"/>
        <v>31</v>
      </c>
      <c r="F27" s="47">
        <f t="shared" si="3"/>
        <v>199</v>
      </c>
      <c r="G27" s="9">
        <f t="shared" si="4"/>
        <v>3.6682000000000001</v>
      </c>
      <c r="T27" s="49"/>
      <c r="U27" s="49"/>
    </row>
    <row r="28" spans="1:21" x14ac:dyDescent="0.2">
      <c r="B28" s="2" t="s">
        <v>5</v>
      </c>
      <c r="C28" s="49">
        <v>5.2290999999999997E-2</v>
      </c>
      <c r="D28" s="49">
        <v>0</v>
      </c>
      <c r="E28" s="7">
        <f t="shared" si="2"/>
        <v>30</v>
      </c>
      <c r="F28" s="47">
        <f t="shared" si="3"/>
        <v>27</v>
      </c>
      <c r="G28" s="9">
        <f t="shared" si="4"/>
        <v>1.5687</v>
      </c>
      <c r="T28" s="49"/>
      <c r="U28" s="49"/>
    </row>
    <row r="29" spans="1:21" x14ac:dyDescent="0.2">
      <c r="B29" s="2" t="s">
        <v>6</v>
      </c>
      <c r="C29" s="49">
        <v>5.2290999999999997E-2</v>
      </c>
      <c r="D29" s="49">
        <v>0</v>
      </c>
      <c r="E29" s="7">
        <f t="shared" si="2"/>
        <v>31</v>
      </c>
      <c r="F29" s="47">
        <f t="shared" si="3"/>
        <v>3</v>
      </c>
      <c r="G29" s="9">
        <f t="shared" si="4"/>
        <v>1.621</v>
      </c>
      <c r="T29" s="49"/>
      <c r="U29" s="49"/>
    </row>
    <row r="30" spans="1:21" x14ac:dyDescent="0.2">
      <c r="B30" s="2" t="s">
        <v>7</v>
      </c>
      <c r="C30" s="49">
        <v>5.1220000000000002E-2</v>
      </c>
      <c r="D30" s="49">
        <v>0</v>
      </c>
      <c r="E30" s="7">
        <f t="shared" si="2"/>
        <v>31</v>
      </c>
      <c r="F30" s="47">
        <f t="shared" si="3"/>
        <v>4</v>
      </c>
      <c r="G30" s="9">
        <f t="shared" si="4"/>
        <v>1.5878000000000001</v>
      </c>
      <c r="T30" s="49"/>
      <c r="U30" s="49"/>
    </row>
    <row r="31" spans="1:21" x14ac:dyDescent="0.2">
      <c r="B31" s="2" t="s">
        <v>8</v>
      </c>
      <c r="C31" s="49">
        <v>4.3704E-2</v>
      </c>
      <c r="D31" s="49">
        <v>8.8999999999999999E-3</v>
      </c>
      <c r="E31" s="7">
        <f t="shared" si="2"/>
        <v>30</v>
      </c>
      <c r="F31" s="47">
        <f t="shared" si="3"/>
        <v>58</v>
      </c>
      <c r="G31" s="9">
        <f t="shared" si="4"/>
        <v>1.8272999999999999</v>
      </c>
      <c r="T31" s="49"/>
      <c r="U31" s="49"/>
    </row>
    <row r="32" spans="1:21" x14ac:dyDescent="0.2">
      <c r="B32" s="2" t="s">
        <v>9</v>
      </c>
      <c r="C32" s="49">
        <v>4.3707999999999997E-2</v>
      </c>
      <c r="D32" s="49">
        <v>8.8999999999999999E-3</v>
      </c>
      <c r="E32" s="7">
        <f t="shared" si="2"/>
        <v>31</v>
      </c>
      <c r="F32" s="47">
        <f t="shared" si="3"/>
        <v>305</v>
      </c>
      <c r="G32" s="9">
        <f t="shared" si="4"/>
        <v>4.0693999999999999</v>
      </c>
      <c r="T32" s="49"/>
      <c r="U32" s="49"/>
    </row>
    <row r="33" spans="2:21" x14ac:dyDescent="0.2">
      <c r="B33" s="2" t="s">
        <v>10</v>
      </c>
      <c r="C33" s="49">
        <v>4.5443999999999998E-2</v>
      </c>
      <c r="D33" s="49">
        <v>1.24E-2</v>
      </c>
      <c r="E33" s="7">
        <f t="shared" si="2"/>
        <v>30</v>
      </c>
      <c r="F33" s="47">
        <f t="shared" si="3"/>
        <v>619</v>
      </c>
      <c r="G33" s="9">
        <f t="shared" si="4"/>
        <v>9.0388999999999999</v>
      </c>
      <c r="T33" s="49"/>
      <c r="U33" s="49"/>
    </row>
    <row r="34" spans="2:21" x14ac:dyDescent="0.2">
      <c r="B34" s="2" t="s">
        <v>11</v>
      </c>
      <c r="C34" s="49">
        <v>4.5594999999999997E-2</v>
      </c>
      <c r="D34" s="49">
        <v>1.3899999999999999E-2</v>
      </c>
      <c r="E34" s="7">
        <f t="shared" si="2"/>
        <v>31</v>
      </c>
      <c r="F34" s="64">
        <f t="shared" si="3"/>
        <v>900</v>
      </c>
      <c r="G34" s="9">
        <f t="shared" si="4"/>
        <v>13.923400000000001</v>
      </c>
      <c r="T34" s="49"/>
      <c r="U34" s="49"/>
    </row>
    <row r="35" spans="2:21" x14ac:dyDescent="0.2">
      <c r="E35" s="8">
        <f>SUM(E23:E34)</f>
        <v>365</v>
      </c>
      <c r="F35" s="65">
        <f>SUM(F23:F34)</f>
        <v>5370</v>
      </c>
      <c r="G35" s="59">
        <f>SUM(G23:G34)</f>
        <v>89.518300000000011</v>
      </c>
    </row>
    <row r="36" spans="2:21" x14ac:dyDescent="0.2">
      <c r="D36" s="11"/>
      <c r="E36" s="32"/>
      <c r="F36" s="27"/>
      <c r="G36" s="10"/>
      <c r="S36" s="62"/>
    </row>
  </sheetData>
  <phoneticPr fontId="0" type="noConversion"/>
  <pageMargins left="0.75" right="0.75" top="1" bottom="1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35"/>
  <sheetViews>
    <sheetView workbookViewId="0">
      <selection activeCell="G18" sqref="G18"/>
    </sheetView>
  </sheetViews>
  <sheetFormatPr defaultColWidth="9.33203125" defaultRowHeight="12.75" x14ac:dyDescent="0.2"/>
  <cols>
    <col min="1" max="2" width="9.33203125" style="2"/>
    <col min="3" max="3" width="8.83203125" style="2" customWidth="1"/>
    <col min="4" max="4" width="8.33203125" style="2" bestFit="1" customWidth="1"/>
    <col min="5" max="5" width="5.83203125" style="2" bestFit="1" customWidth="1"/>
    <col min="6" max="6" width="8.1640625" style="22" bestFit="1" customWidth="1"/>
    <col min="7" max="7" width="14.1640625" style="9" bestFit="1" customWidth="1"/>
    <col min="8" max="9" width="10.83203125" style="2" customWidth="1"/>
    <col min="10" max="16384" width="9.33203125" style="2"/>
  </cols>
  <sheetData>
    <row r="1" spans="1:7" ht="18" x14ac:dyDescent="0.25">
      <c r="A1" s="78" t="s">
        <v>29</v>
      </c>
    </row>
    <row r="2" spans="1:7" ht="18" x14ac:dyDescent="0.25">
      <c r="A2" s="78" t="s">
        <v>22</v>
      </c>
    </row>
    <row r="4" spans="1:7" ht="51" x14ac:dyDescent="0.2">
      <c r="C4" s="5" t="s">
        <v>15</v>
      </c>
      <c r="D4" s="5" t="s">
        <v>16</v>
      </c>
      <c r="E4" s="5" t="s">
        <v>17</v>
      </c>
      <c r="F4" s="42" t="s">
        <v>34</v>
      </c>
      <c r="G4" s="43" t="s">
        <v>51</v>
      </c>
    </row>
    <row r="5" spans="1:7" x14ac:dyDescent="0.2">
      <c r="F5" s="47"/>
    </row>
    <row r="6" spans="1:7" x14ac:dyDescent="0.2">
      <c r="B6" s="2" t="s">
        <v>0</v>
      </c>
      <c r="C6" s="49">
        <v>2.6067E-2</v>
      </c>
      <c r="D6" s="49">
        <v>2.06E-2</v>
      </c>
      <c r="E6" s="7">
        <v>31</v>
      </c>
      <c r="F6" s="47">
        <f>'Weather normal west'!B36</f>
        <v>1105</v>
      </c>
      <c r="G6" s="9">
        <f>ROUND(+C6*E6+F6*D6,4)</f>
        <v>23.571100000000001</v>
      </c>
    </row>
    <row r="7" spans="1:7" x14ac:dyDescent="0.2">
      <c r="B7" s="2" t="s">
        <v>1</v>
      </c>
      <c r="C7" s="49">
        <v>2.5937999999999999E-2</v>
      </c>
      <c r="D7" s="49">
        <v>2.01E-2</v>
      </c>
      <c r="E7" s="7">
        <v>28</v>
      </c>
      <c r="F7" s="47">
        <f>'Weather normal west'!C36</f>
        <v>995.32142857142856</v>
      </c>
      <c r="G7" s="9">
        <f t="shared" ref="G7:G17" si="0">ROUND(+C7*E7+F7*D7,4)</f>
        <v>20.732199999999999</v>
      </c>
    </row>
    <row r="8" spans="1:7" x14ac:dyDescent="0.2">
      <c r="B8" s="2" t="s">
        <v>2</v>
      </c>
      <c r="C8" s="49">
        <v>2.5509E-2</v>
      </c>
      <c r="D8" s="49">
        <v>1.8200000000000001E-2</v>
      </c>
      <c r="E8" s="7">
        <v>31</v>
      </c>
      <c r="F8" s="47">
        <f>'Weather normal west'!D36</f>
        <v>724</v>
      </c>
      <c r="G8" s="9">
        <f t="shared" si="0"/>
        <v>13.967599999999999</v>
      </c>
    </row>
    <row r="9" spans="1:7" x14ac:dyDescent="0.2">
      <c r="B9" s="2" t="s">
        <v>3</v>
      </c>
      <c r="C9" s="49">
        <v>2.4871999999999998E-2</v>
      </c>
      <c r="D9" s="49">
        <v>1.61E-2</v>
      </c>
      <c r="E9" s="7">
        <v>30</v>
      </c>
      <c r="F9" s="47">
        <f>'Weather normal west'!E36</f>
        <v>415</v>
      </c>
      <c r="G9" s="9">
        <f t="shared" si="0"/>
        <v>7.4276999999999997</v>
      </c>
    </row>
    <row r="10" spans="1:7" x14ac:dyDescent="0.2">
      <c r="B10" s="2" t="s">
        <v>4</v>
      </c>
      <c r="C10" s="49">
        <v>2.2741000000000001E-2</v>
      </c>
      <c r="D10" s="49">
        <v>1.18E-2</v>
      </c>
      <c r="E10" s="7">
        <v>31</v>
      </c>
      <c r="F10" s="47">
        <f>'Weather normal west'!F36</f>
        <v>167</v>
      </c>
      <c r="G10" s="9">
        <f t="shared" si="0"/>
        <v>2.6756000000000002</v>
      </c>
    </row>
    <row r="11" spans="1:7" x14ac:dyDescent="0.2">
      <c r="B11" s="2" t="s">
        <v>5</v>
      </c>
      <c r="C11" s="49">
        <v>2.8403000000000001E-2</v>
      </c>
      <c r="D11" s="49">
        <v>0</v>
      </c>
      <c r="E11" s="7">
        <v>30</v>
      </c>
      <c r="F11" s="47">
        <f>'Weather normal west'!G36</f>
        <v>18</v>
      </c>
      <c r="G11" s="9">
        <f t="shared" si="0"/>
        <v>0.85209999999999997</v>
      </c>
    </row>
    <row r="12" spans="1:7" x14ac:dyDescent="0.2">
      <c r="B12" s="2" t="s">
        <v>6</v>
      </c>
      <c r="C12" s="49">
        <v>2.8403000000000001E-2</v>
      </c>
      <c r="D12" s="49">
        <v>0</v>
      </c>
      <c r="E12" s="7">
        <v>31</v>
      </c>
      <c r="F12" s="47">
        <f>'Weather normal west'!H36</f>
        <v>2</v>
      </c>
      <c r="G12" s="9">
        <f t="shared" si="0"/>
        <v>0.88049999999999995</v>
      </c>
    </row>
    <row r="13" spans="1:7" x14ac:dyDescent="0.2">
      <c r="B13" s="2" t="s">
        <v>7</v>
      </c>
      <c r="C13" s="49">
        <v>3.0377000000000001E-2</v>
      </c>
      <c r="D13" s="49">
        <v>0</v>
      </c>
      <c r="E13" s="7">
        <v>31</v>
      </c>
      <c r="F13" s="47">
        <f>'Weather normal west'!I36</f>
        <v>5</v>
      </c>
      <c r="G13" s="9">
        <f t="shared" si="0"/>
        <v>0.94169999999999998</v>
      </c>
    </row>
    <row r="14" spans="1:7" x14ac:dyDescent="0.2">
      <c r="B14" s="2" t="s">
        <v>8</v>
      </c>
      <c r="C14" s="49">
        <v>2.2301000000000001E-2</v>
      </c>
      <c r="D14" s="49">
        <v>7.3000000000000001E-3</v>
      </c>
      <c r="E14" s="7">
        <v>30</v>
      </c>
      <c r="F14" s="47">
        <f>'Weather normal west'!J36</f>
        <v>63</v>
      </c>
      <c r="G14" s="9">
        <f t="shared" si="0"/>
        <v>1.1289</v>
      </c>
    </row>
    <row r="15" spans="1:7" x14ac:dyDescent="0.2">
      <c r="B15" s="2" t="s">
        <v>9</v>
      </c>
      <c r="C15" s="49">
        <v>2.3075999999999999E-2</v>
      </c>
      <c r="D15" s="49">
        <v>7.3000000000000001E-3</v>
      </c>
      <c r="E15" s="7">
        <v>31</v>
      </c>
      <c r="F15" s="47">
        <f>'Weather normal west'!K36</f>
        <v>307</v>
      </c>
      <c r="G15" s="9">
        <f t="shared" si="0"/>
        <v>2.9565000000000001</v>
      </c>
    </row>
    <row r="16" spans="1:7" x14ac:dyDescent="0.2">
      <c r="B16" s="2" t="s">
        <v>10</v>
      </c>
      <c r="C16" s="49">
        <v>2.2896E-2</v>
      </c>
      <c r="D16" s="49">
        <v>1.37E-2</v>
      </c>
      <c r="E16" s="7">
        <v>30</v>
      </c>
      <c r="F16" s="47">
        <f>'Weather normal west'!L36</f>
        <v>625</v>
      </c>
      <c r="G16" s="9">
        <f t="shared" si="0"/>
        <v>9.2493999999999996</v>
      </c>
    </row>
    <row r="17" spans="1:7" x14ac:dyDescent="0.2">
      <c r="B17" s="2" t="s">
        <v>11</v>
      </c>
      <c r="C17" s="49">
        <v>2.5166999999999998E-2</v>
      </c>
      <c r="D17" s="49">
        <v>1.78E-2</v>
      </c>
      <c r="E17" s="7">
        <v>31</v>
      </c>
      <c r="F17" s="56">
        <f>'Weather normal west'!M36</f>
        <v>928</v>
      </c>
      <c r="G17" s="9">
        <f t="shared" si="0"/>
        <v>17.2986</v>
      </c>
    </row>
    <row r="18" spans="1:7" x14ac:dyDescent="0.2">
      <c r="E18" s="8">
        <f>SUM(E6:E17)</f>
        <v>365</v>
      </c>
      <c r="F18" s="47">
        <f>SUM(F6:F17)</f>
        <v>5354.3214285714284</v>
      </c>
      <c r="G18" s="59">
        <f>SUM(G6:G17)</f>
        <v>101.68189999999998</v>
      </c>
    </row>
    <row r="19" spans="1:7" ht="18" x14ac:dyDescent="0.25">
      <c r="A19" s="78" t="s">
        <v>20</v>
      </c>
      <c r="E19" s="7"/>
      <c r="F19" s="47"/>
    </row>
    <row r="20" spans="1:7" x14ac:dyDescent="0.2">
      <c r="E20" s="7"/>
      <c r="F20" s="47"/>
    </row>
    <row r="21" spans="1:7" x14ac:dyDescent="0.2">
      <c r="C21" s="5" t="s">
        <v>15</v>
      </c>
      <c r="D21" s="5" t="s">
        <v>16</v>
      </c>
      <c r="E21" s="5" t="s">
        <v>17</v>
      </c>
      <c r="F21" s="47" t="s">
        <v>18</v>
      </c>
      <c r="G21" s="63" t="s">
        <v>19</v>
      </c>
    </row>
    <row r="22" spans="1:7" x14ac:dyDescent="0.2">
      <c r="E22" s="7"/>
      <c r="F22" s="47"/>
    </row>
    <row r="23" spans="1:7" x14ac:dyDescent="0.2">
      <c r="B23" s="2" t="s">
        <v>0</v>
      </c>
      <c r="C23" s="49">
        <v>2.8929E-2</v>
      </c>
      <c r="D23" s="49">
        <v>1.2800000000000001E-2</v>
      </c>
      <c r="E23" s="7">
        <f>E6</f>
        <v>31</v>
      </c>
      <c r="F23" s="47">
        <f>F6</f>
        <v>1105</v>
      </c>
      <c r="G23" s="9">
        <f>ROUND(+C23*E23+F23*D23,4)</f>
        <v>15.040800000000001</v>
      </c>
    </row>
    <row r="24" spans="1:7" x14ac:dyDescent="0.2">
      <c r="B24" s="2" t="s">
        <v>1</v>
      </c>
      <c r="C24" s="49">
        <v>2.8916000000000001E-2</v>
      </c>
      <c r="D24" s="49">
        <v>1.2999999999999999E-2</v>
      </c>
      <c r="E24" s="7">
        <f t="shared" ref="E24:E34" si="1">E7</f>
        <v>28</v>
      </c>
      <c r="F24" s="47">
        <f t="shared" ref="F24:F34" si="2">F7</f>
        <v>995.32142857142856</v>
      </c>
      <c r="G24" s="9">
        <f>ROUND(+C24*E24+F24*D24,4)</f>
        <v>13.748799999999999</v>
      </c>
    </row>
    <row r="25" spans="1:7" x14ac:dyDescent="0.2">
      <c r="B25" s="2" t="s">
        <v>2</v>
      </c>
      <c r="C25" s="49">
        <v>2.8917000000000002E-2</v>
      </c>
      <c r="D25" s="49">
        <v>1.26E-2</v>
      </c>
      <c r="E25" s="7">
        <f t="shared" si="1"/>
        <v>31</v>
      </c>
      <c r="F25" s="47">
        <f t="shared" si="2"/>
        <v>724</v>
      </c>
      <c r="G25" s="9">
        <f t="shared" ref="G25:G34" si="3">ROUND(+C25*E25+F25*D25,4)</f>
        <v>10.018800000000001</v>
      </c>
    </row>
    <row r="26" spans="1:7" x14ac:dyDescent="0.2">
      <c r="B26" s="2" t="s">
        <v>3</v>
      </c>
      <c r="C26" s="49">
        <v>2.8594000000000001E-2</v>
      </c>
      <c r="D26" s="49">
        <v>1.21E-2</v>
      </c>
      <c r="E26" s="7">
        <f t="shared" si="1"/>
        <v>30</v>
      </c>
      <c r="F26" s="47">
        <f t="shared" si="2"/>
        <v>415</v>
      </c>
      <c r="G26" s="9">
        <f t="shared" si="3"/>
        <v>5.8792999999999997</v>
      </c>
    </row>
    <row r="27" spans="1:7" x14ac:dyDescent="0.2">
      <c r="B27" s="2" t="s">
        <v>4</v>
      </c>
      <c r="C27" s="49">
        <v>2.8365999999999999E-2</v>
      </c>
      <c r="D27" s="49">
        <v>1.0699999999999999E-2</v>
      </c>
      <c r="E27" s="7">
        <f t="shared" si="1"/>
        <v>31</v>
      </c>
      <c r="F27" s="47">
        <f t="shared" si="2"/>
        <v>167</v>
      </c>
      <c r="G27" s="9">
        <f t="shared" si="3"/>
        <v>2.6661999999999999</v>
      </c>
    </row>
    <row r="28" spans="1:7" x14ac:dyDescent="0.2">
      <c r="B28" s="2" t="s">
        <v>5</v>
      </c>
      <c r="C28" s="49">
        <v>3.2118000000000001E-2</v>
      </c>
      <c r="D28" s="49">
        <v>0</v>
      </c>
      <c r="E28" s="7">
        <f t="shared" si="1"/>
        <v>30</v>
      </c>
      <c r="F28" s="47">
        <f t="shared" si="2"/>
        <v>18</v>
      </c>
      <c r="G28" s="9">
        <f t="shared" si="3"/>
        <v>0.96350000000000002</v>
      </c>
    </row>
    <row r="29" spans="1:7" x14ac:dyDescent="0.2">
      <c r="B29" s="2" t="s">
        <v>6</v>
      </c>
      <c r="C29" s="49">
        <v>3.2118000000000001E-2</v>
      </c>
      <c r="D29" s="49">
        <v>0</v>
      </c>
      <c r="E29" s="7">
        <f t="shared" si="1"/>
        <v>31</v>
      </c>
      <c r="F29" s="47">
        <f t="shared" si="2"/>
        <v>2</v>
      </c>
      <c r="G29" s="9">
        <f t="shared" si="3"/>
        <v>0.99570000000000003</v>
      </c>
    </row>
    <row r="30" spans="1:7" x14ac:dyDescent="0.2">
      <c r="B30" s="2" t="s">
        <v>7</v>
      </c>
      <c r="C30" s="49">
        <v>3.1419000000000002E-2</v>
      </c>
      <c r="D30" s="49">
        <v>0</v>
      </c>
      <c r="E30" s="7">
        <f t="shared" si="1"/>
        <v>31</v>
      </c>
      <c r="F30" s="47">
        <f t="shared" si="2"/>
        <v>5</v>
      </c>
      <c r="G30" s="9">
        <f t="shared" si="3"/>
        <v>0.97399999999999998</v>
      </c>
    </row>
    <row r="31" spans="1:7" x14ac:dyDescent="0.2">
      <c r="B31" s="2" t="s">
        <v>8</v>
      </c>
      <c r="C31" s="49">
        <v>2.4834999999999999E-2</v>
      </c>
      <c r="D31" s="49">
        <v>6.4000000000000003E-3</v>
      </c>
      <c r="E31" s="7">
        <f t="shared" si="1"/>
        <v>30</v>
      </c>
      <c r="F31" s="47">
        <f t="shared" si="2"/>
        <v>63</v>
      </c>
      <c r="G31" s="9">
        <f t="shared" si="3"/>
        <v>1.1483000000000001</v>
      </c>
    </row>
    <row r="32" spans="1:7" x14ac:dyDescent="0.2">
      <c r="B32" s="2" t="s">
        <v>9</v>
      </c>
      <c r="C32" s="49">
        <v>2.7996E-2</v>
      </c>
      <c r="D32" s="49">
        <v>6.4000000000000003E-3</v>
      </c>
      <c r="E32" s="7">
        <f t="shared" si="1"/>
        <v>31</v>
      </c>
      <c r="F32" s="47">
        <f t="shared" si="2"/>
        <v>307</v>
      </c>
      <c r="G32" s="9">
        <f t="shared" si="3"/>
        <v>2.8327</v>
      </c>
    </row>
    <row r="33" spans="2:7" x14ac:dyDescent="0.2">
      <c r="B33" s="2" t="s">
        <v>10</v>
      </c>
      <c r="C33" s="49">
        <v>2.8969000000000002E-2</v>
      </c>
      <c r="D33" s="49">
        <v>1.0200000000000001E-2</v>
      </c>
      <c r="E33" s="7">
        <f t="shared" si="1"/>
        <v>30</v>
      </c>
      <c r="F33" s="47">
        <f t="shared" si="2"/>
        <v>625</v>
      </c>
      <c r="G33" s="9">
        <f t="shared" si="3"/>
        <v>7.2441000000000004</v>
      </c>
    </row>
    <row r="34" spans="2:7" x14ac:dyDescent="0.2">
      <c r="B34" s="2" t="s">
        <v>11</v>
      </c>
      <c r="C34" s="49">
        <v>2.9094999999999999E-2</v>
      </c>
      <c r="D34" s="49">
        <v>1.21E-2</v>
      </c>
      <c r="E34" s="7">
        <f t="shared" si="1"/>
        <v>31</v>
      </c>
      <c r="F34" s="56">
        <f t="shared" si="2"/>
        <v>928</v>
      </c>
      <c r="G34" s="9">
        <f t="shared" si="3"/>
        <v>12.130699999999999</v>
      </c>
    </row>
    <row r="35" spans="2:7" x14ac:dyDescent="0.2">
      <c r="E35" s="8">
        <f>SUM(E23:E34)</f>
        <v>365</v>
      </c>
      <c r="F35" s="47">
        <f>SUM(F23:F34)</f>
        <v>5354.3214285714284</v>
      </c>
      <c r="G35" s="59">
        <f>SUM(G23:G34)</f>
        <v>73.642899999999997</v>
      </c>
    </row>
  </sheetData>
  <phoneticPr fontId="0" type="noConversion"/>
  <pageMargins left="0.75" right="0.75" top="1" bottom="1" header="0.5" footer="0.5"/>
  <pageSetup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35"/>
  <sheetViews>
    <sheetView workbookViewId="0">
      <selection activeCell="G18" sqref="G18"/>
    </sheetView>
  </sheetViews>
  <sheetFormatPr defaultColWidth="9.33203125" defaultRowHeight="12.75" x14ac:dyDescent="0.2"/>
  <cols>
    <col min="1" max="2" width="9.33203125" style="2" customWidth="1"/>
    <col min="3" max="3" width="9" style="74" customWidth="1"/>
    <col min="4" max="4" width="8.33203125" style="74" bestFit="1" customWidth="1"/>
    <col min="5" max="5" width="5.83203125" style="61" bestFit="1" customWidth="1"/>
    <col min="6" max="6" width="8.1640625" style="47" bestFit="1" customWidth="1"/>
    <col min="7" max="7" width="14.1640625" style="67" bestFit="1" customWidth="1"/>
    <col min="8" max="8" width="10.83203125" style="7" customWidth="1"/>
    <col min="9" max="9" width="10.83203125" style="2" customWidth="1"/>
    <col min="10" max="16384" width="9.33203125" style="2"/>
  </cols>
  <sheetData>
    <row r="1" spans="1:9" ht="18" x14ac:dyDescent="0.25">
      <c r="A1" s="73" t="s">
        <v>30</v>
      </c>
    </row>
    <row r="2" spans="1:9" ht="18" x14ac:dyDescent="0.25">
      <c r="A2" s="73" t="s">
        <v>22</v>
      </c>
    </row>
    <row r="4" spans="1:9" ht="51" x14ac:dyDescent="0.2">
      <c r="C4" s="75"/>
      <c r="D4" s="75"/>
      <c r="E4" s="5"/>
      <c r="F4" s="42" t="s">
        <v>34</v>
      </c>
      <c r="G4" s="68" t="s">
        <v>51</v>
      </c>
    </row>
    <row r="5" spans="1:9" x14ac:dyDescent="0.2">
      <c r="C5" s="75" t="s">
        <v>15</v>
      </c>
      <c r="D5" s="75" t="s">
        <v>16</v>
      </c>
      <c r="E5" s="5" t="s">
        <v>17</v>
      </c>
      <c r="F5" s="47" t="s">
        <v>18</v>
      </c>
      <c r="G5" s="67" t="s">
        <v>19</v>
      </c>
    </row>
    <row r="6" spans="1:9" x14ac:dyDescent="0.2">
      <c r="B6" s="2" t="s">
        <v>0</v>
      </c>
      <c r="C6" s="69">
        <v>0.15398600000000001</v>
      </c>
      <c r="D6" s="69">
        <v>4.7399999999999998E-2</v>
      </c>
      <c r="E6" s="7">
        <v>31</v>
      </c>
      <c r="F6" s="47">
        <f>'Weather normal east'!B36</f>
        <v>1076</v>
      </c>
      <c r="G6" s="67">
        <f>ROUND(+C6*E6+F6*D6,4)</f>
        <v>55.776000000000003</v>
      </c>
      <c r="H6" s="76"/>
      <c r="I6" s="70"/>
    </row>
    <row r="7" spans="1:9" x14ac:dyDescent="0.2">
      <c r="B7" s="2" t="s">
        <v>1</v>
      </c>
      <c r="C7" s="69">
        <v>0.15279799999999999</v>
      </c>
      <c r="D7" s="69">
        <v>5.0599999999999999E-2</v>
      </c>
      <c r="E7" s="7">
        <v>28</v>
      </c>
      <c r="F7" s="47">
        <f>'Weather normal east'!C36</f>
        <v>972</v>
      </c>
      <c r="G7" s="67">
        <f t="shared" ref="G7:G17" si="0">ROUND(+C7*E7+F7*D7,4)</f>
        <v>53.461500000000001</v>
      </c>
      <c r="H7" s="76"/>
      <c r="I7" s="71"/>
    </row>
    <row r="8" spans="1:9" x14ac:dyDescent="0.2">
      <c r="B8" s="2" t="s">
        <v>2</v>
      </c>
      <c r="C8" s="69">
        <v>0.15851399999999999</v>
      </c>
      <c r="D8" s="69">
        <v>4.8800000000000003E-2</v>
      </c>
      <c r="E8" s="7">
        <v>31</v>
      </c>
      <c r="F8" s="47">
        <f>'Weather normal east'!D36</f>
        <v>772</v>
      </c>
      <c r="G8" s="67">
        <f t="shared" si="0"/>
        <v>42.587499999999999</v>
      </c>
      <c r="H8" s="76"/>
    </row>
    <row r="9" spans="1:9" x14ac:dyDescent="0.2">
      <c r="B9" s="2" t="s">
        <v>3</v>
      </c>
      <c r="C9" s="69">
        <v>0.158328</v>
      </c>
      <c r="D9" s="69">
        <v>4.58E-2</v>
      </c>
      <c r="E9" s="7">
        <v>30</v>
      </c>
      <c r="F9" s="47">
        <f>'Weather normal east'!E36</f>
        <v>435</v>
      </c>
      <c r="G9" s="67">
        <f t="shared" si="0"/>
        <v>24.672799999999999</v>
      </c>
      <c r="H9" s="76"/>
    </row>
    <row r="10" spans="1:9" x14ac:dyDescent="0.2">
      <c r="B10" s="2" t="s">
        <v>4</v>
      </c>
      <c r="C10" s="69">
        <v>0.162551</v>
      </c>
      <c r="D10" s="69">
        <v>4.1099999999999998E-2</v>
      </c>
      <c r="E10" s="7">
        <v>31</v>
      </c>
      <c r="F10" s="47">
        <f>'Weather normal east'!F36</f>
        <v>199</v>
      </c>
      <c r="G10" s="67">
        <f t="shared" si="0"/>
        <v>13.218</v>
      </c>
      <c r="H10" s="76"/>
    </row>
    <row r="11" spans="1:9" x14ac:dyDescent="0.2">
      <c r="B11" s="2" t="s">
        <v>5</v>
      </c>
      <c r="C11" s="69">
        <v>0.18909000000000001</v>
      </c>
      <c r="D11" s="69">
        <v>0</v>
      </c>
      <c r="E11" s="7">
        <v>30</v>
      </c>
      <c r="F11" s="47">
        <f>'Weather normal east'!G36</f>
        <v>27</v>
      </c>
      <c r="G11" s="67">
        <f t="shared" si="0"/>
        <v>5.6726999999999999</v>
      </c>
      <c r="H11" s="76"/>
    </row>
    <row r="12" spans="1:9" x14ac:dyDescent="0.2">
      <c r="B12" s="2" t="s">
        <v>6</v>
      </c>
      <c r="C12" s="69">
        <v>0.18909000000000001</v>
      </c>
      <c r="D12" s="69">
        <v>0</v>
      </c>
      <c r="E12" s="7">
        <v>31</v>
      </c>
      <c r="F12" s="47">
        <f>'Weather normal east'!H36</f>
        <v>3</v>
      </c>
      <c r="G12" s="67">
        <f t="shared" si="0"/>
        <v>5.8617999999999997</v>
      </c>
      <c r="H12" s="76"/>
    </row>
    <row r="13" spans="1:9" x14ac:dyDescent="0.2">
      <c r="B13" s="2" t="s">
        <v>7</v>
      </c>
      <c r="C13" s="69">
        <v>0.18562899999999999</v>
      </c>
      <c r="D13" s="69">
        <v>0</v>
      </c>
      <c r="E13" s="7">
        <v>31</v>
      </c>
      <c r="F13" s="47">
        <f>'Weather normal east'!I36</f>
        <v>4</v>
      </c>
      <c r="G13" s="67">
        <f t="shared" si="0"/>
        <v>5.7545000000000002</v>
      </c>
      <c r="H13" s="76"/>
    </row>
    <row r="14" spans="1:9" x14ac:dyDescent="0.2">
      <c r="B14" s="2" t="s">
        <v>8</v>
      </c>
      <c r="C14" s="69">
        <v>0.18750280074608236</v>
      </c>
      <c r="D14" s="69">
        <v>2.6200000000000001E-2</v>
      </c>
      <c r="E14" s="7">
        <v>30</v>
      </c>
      <c r="F14" s="47">
        <f>'Weather normal east'!J36</f>
        <v>58</v>
      </c>
      <c r="G14" s="67">
        <f t="shared" si="0"/>
        <v>7.1447000000000003</v>
      </c>
      <c r="H14" s="76"/>
    </row>
    <row r="15" spans="1:9" x14ac:dyDescent="0.2">
      <c r="B15" s="2" t="s">
        <v>9</v>
      </c>
      <c r="C15" s="69">
        <v>0.17980299999999999</v>
      </c>
      <c r="D15" s="69">
        <v>2.6200000000000001E-2</v>
      </c>
      <c r="E15" s="7">
        <v>31</v>
      </c>
      <c r="F15" s="47">
        <f>'Weather normal east'!K36</f>
        <v>305</v>
      </c>
      <c r="G15" s="67">
        <f t="shared" si="0"/>
        <v>13.5649</v>
      </c>
      <c r="H15" s="76"/>
    </row>
    <row r="16" spans="1:9" x14ac:dyDescent="0.2">
      <c r="B16" s="2" t="s">
        <v>10</v>
      </c>
      <c r="C16" s="69">
        <v>0.17110300000000001</v>
      </c>
      <c r="D16" s="69">
        <v>3.8600000000000002E-2</v>
      </c>
      <c r="E16" s="7">
        <v>30</v>
      </c>
      <c r="F16" s="47">
        <f>'Weather normal east'!L36</f>
        <v>619</v>
      </c>
      <c r="G16" s="67">
        <f t="shared" si="0"/>
        <v>29.026499999999999</v>
      </c>
      <c r="H16" s="76"/>
    </row>
    <row r="17" spans="1:9" x14ac:dyDescent="0.2">
      <c r="B17" s="2" t="s">
        <v>11</v>
      </c>
      <c r="C17" s="69">
        <v>0.15478</v>
      </c>
      <c r="D17" s="69">
        <v>4.4699999999999997E-2</v>
      </c>
      <c r="E17" s="7">
        <v>31</v>
      </c>
      <c r="F17" s="56">
        <f>'Weather normal east'!M36</f>
        <v>900</v>
      </c>
      <c r="G17" s="67">
        <f t="shared" si="0"/>
        <v>45.028199999999998</v>
      </c>
      <c r="H17" s="76"/>
    </row>
    <row r="18" spans="1:9" x14ac:dyDescent="0.2">
      <c r="E18" s="8">
        <f>SUM(E6:E17)</f>
        <v>365</v>
      </c>
      <c r="F18" s="58">
        <f>SUM(F6:F17)</f>
        <v>5370</v>
      </c>
      <c r="G18" s="72">
        <f>SUM(G6:G17)</f>
        <v>301.76909999999998</v>
      </c>
      <c r="H18" s="76"/>
    </row>
    <row r="19" spans="1:9" ht="18" x14ac:dyDescent="0.25">
      <c r="A19" s="73" t="s">
        <v>20</v>
      </c>
      <c r="E19" s="7"/>
      <c r="F19" s="61"/>
      <c r="G19" s="61"/>
    </row>
    <row r="20" spans="1:9" x14ac:dyDescent="0.2">
      <c r="E20" s="7"/>
      <c r="F20" s="61"/>
      <c r="G20" s="61"/>
    </row>
    <row r="21" spans="1:9" x14ac:dyDescent="0.2">
      <c r="C21" s="75"/>
      <c r="D21" s="75"/>
      <c r="E21" s="5"/>
    </row>
    <row r="22" spans="1:9" x14ac:dyDescent="0.2">
      <c r="C22" s="75" t="s">
        <v>15</v>
      </c>
      <c r="D22" s="75" t="s">
        <v>16</v>
      </c>
      <c r="E22" s="5" t="s">
        <v>17</v>
      </c>
      <c r="F22" s="47" t="s">
        <v>18</v>
      </c>
      <c r="G22" s="67" t="s">
        <v>19</v>
      </c>
      <c r="I22" s="70"/>
    </row>
    <row r="23" spans="1:9" x14ac:dyDescent="0.2">
      <c r="B23" s="2" t="s">
        <v>0</v>
      </c>
      <c r="C23" s="69">
        <v>4.6517999999999997E-2</v>
      </c>
      <c r="D23" s="69">
        <v>1.6400000000000001E-2</v>
      </c>
      <c r="E23" s="7">
        <f>E6</f>
        <v>31</v>
      </c>
      <c r="F23" s="47">
        <f>F6</f>
        <v>1076</v>
      </c>
      <c r="G23" s="67">
        <f>ROUND(+C23*E23+F23*D23,4)</f>
        <v>19.0885</v>
      </c>
      <c r="H23" s="76"/>
      <c r="I23" s="77"/>
    </row>
    <row r="24" spans="1:9" x14ac:dyDescent="0.2">
      <c r="B24" s="2" t="s">
        <v>1</v>
      </c>
      <c r="C24" s="69">
        <v>4.6633000000000001E-2</v>
      </c>
      <c r="D24" s="69">
        <v>1.67E-2</v>
      </c>
      <c r="E24" s="7">
        <f t="shared" ref="E24:E34" si="1">E7</f>
        <v>28</v>
      </c>
      <c r="F24" s="47">
        <f t="shared" ref="F24:F34" si="2">F7</f>
        <v>972</v>
      </c>
      <c r="G24" s="67">
        <f t="shared" ref="G24:G34" si="3">ROUND(+C24*E24+F24*D24,4)</f>
        <v>17.5381</v>
      </c>
      <c r="H24" s="76"/>
      <c r="I24" s="77"/>
    </row>
    <row r="25" spans="1:9" x14ac:dyDescent="0.2">
      <c r="B25" s="2" t="s">
        <v>2</v>
      </c>
      <c r="C25" s="69">
        <v>4.6713999999999999E-2</v>
      </c>
      <c r="D25" s="69">
        <v>1.6799999999999999E-2</v>
      </c>
      <c r="E25" s="7">
        <f t="shared" si="1"/>
        <v>31</v>
      </c>
      <c r="F25" s="47">
        <f t="shared" si="2"/>
        <v>772</v>
      </c>
      <c r="G25" s="67">
        <f t="shared" si="3"/>
        <v>14.4177</v>
      </c>
      <c r="H25" s="76"/>
      <c r="I25" s="77"/>
    </row>
    <row r="26" spans="1:9" x14ac:dyDescent="0.2">
      <c r="B26" s="2" t="s">
        <v>3</v>
      </c>
      <c r="C26" s="69">
        <v>4.6482999999999997E-2</v>
      </c>
      <c r="D26" s="69">
        <v>1.61E-2</v>
      </c>
      <c r="E26" s="7">
        <f t="shared" si="1"/>
        <v>30</v>
      </c>
      <c r="F26" s="47">
        <f t="shared" si="2"/>
        <v>435</v>
      </c>
      <c r="G26" s="67">
        <f t="shared" si="3"/>
        <v>8.3979999999999997</v>
      </c>
      <c r="H26" s="76"/>
      <c r="I26" s="77"/>
    </row>
    <row r="27" spans="1:9" x14ac:dyDescent="0.2">
      <c r="B27" s="2" t="s">
        <v>4</v>
      </c>
      <c r="C27" s="69">
        <v>4.6167E-2</v>
      </c>
      <c r="D27" s="69">
        <v>1.4800000000000001E-2</v>
      </c>
      <c r="E27" s="7">
        <f t="shared" si="1"/>
        <v>31</v>
      </c>
      <c r="F27" s="47">
        <f t="shared" si="2"/>
        <v>199</v>
      </c>
      <c r="G27" s="67">
        <f t="shared" si="3"/>
        <v>4.3764000000000003</v>
      </c>
      <c r="H27" s="76"/>
      <c r="I27" s="77"/>
    </row>
    <row r="28" spans="1:9" x14ac:dyDescent="0.2">
      <c r="B28" s="2" t="s">
        <v>5</v>
      </c>
      <c r="C28" s="69">
        <v>5.2491000000000003E-2</v>
      </c>
      <c r="D28" s="69">
        <v>0</v>
      </c>
      <c r="E28" s="7">
        <f t="shared" si="1"/>
        <v>30</v>
      </c>
      <c r="F28" s="47">
        <f t="shared" si="2"/>
        <v>27</v>
      </c>
      <c r="G28" s="67">
        <f t="shared" si="3"/>
        <v>1.5747</v>
      </c>
      <c r="H28" s="76"/>
      <c r="I28" s="77"/>
    </row>
    <row r="29" spans="1:9" x14ac:dyDescent="0.2">
      <c r="B29" s="2" t="s">
        <v>6</v>
      </c>
      <c r="C29" s="69">
        <v>5.2491000000000003E-2</v>
      </c>
      <c r="D29" s="69">
        <v>0</v>
      </c>
      <c r="E29" s="7">
        <f t="shared" si="1"/>
        <v>31</v>
      </c>
      <c r="F29" s="47">
        <f t="shared" si="2"/>
        <v>3</v>
      </c>
      <c r="G29" s="67">
        <f t="shared" si="3"/>
        <v>1.6272</v>
      </c>
      <c r="H29" s="76"/>
      <c r="I29" s="77"/>
    </row>
    <row r="30" spans="1:9" x14ac:dyDescent="0.2">
      <c r="B30" s="2" t="s">
        <v>7</v>
      </c>
      <c r="C30" s="69">
        <v>4.8319000000000001E-2</v>
      </c>
      <c r="D30" s="69">
        <v>0</v>
      </c>
      <c r="E30" s="7">
        <f t="shared" si="1"/>
        <v>31</v>
      </c>
      <c r="F30" s="47">
        <f t="shared" si="2"/>
        <v>4</v>
      </c>
      <c r="G30" s="67">
        <f t="shared" si="3"/>
        <v>1.4979</v>
      </c>
      <c r="H30" s="76"/>
      <c r="I30" s="77"/>
    </row>
    <row r="31" spans="1:9" x14ac:dyDescent="0.2">
      <c r="B31" s="2" t="s">
        <v>8</v>
      </c>
      <c r="C31" s="69">
        <v>4.5223889120765769E-2</v>
      </c>
      <c r="D31" s="69">
        <v>1.32E-2</v>
      </c>
      <c r="E31" s="7">
        <f t="shared" si="1"/>
        <v>30</v>
      </c>
      <c r="F31" s="47">
        <f t="shared" si="2"/>
        <v>58</v>
      </c>
      <c r="G31" s="67">
        <f t="shared" si="3"/>
        <v>2.1223000000000001</v>
      </c>
      <c r="H31" s="76"/>
      <c r="I31" s="77"/>
    </row>
    <row r="32" spans="1:9" x14ac:dyDescent="0.2">
      <c r="B32" s="2" t="s">
        <v>9</v>
      </c>
      <c r="C32" s="69">
        <v>4.6920000000000003E-2</v>
      </c>
      <c r="D32" s="69">
        <v>1.32E-2</v>
      </c>
      <c r="E32" s="7">
        <f t="shared" si="1"/>
        <v>31</v>
      </c>
      <c r="F32" s="47">
        <f t="shared" si="2"/>
        <v>305</v>
      </c>
      <c r="G32" s="67">
        <f t="shared" si="3"/>
        <v>5.4805000000000001</v>
      </c>
      <c r="H32" s="76"/>
      <c r="I32" s="77"/>
    </row>
    <row r="33" spans="2:9" x14ac:dyDescent="0.2">
      <c r="B33" s="2" t="s">
        <v>10</v>
      </c>
      <c r="C33" s="69">
        <v>4.6831999999999999E-2</v>
      </c>
      <c r="D33" s="69">
        <v>1.5299999999999999E-2</v>
      </c>
      <c r="E33" s="7">
        <f t="shared" si="1"/>
        <v>30</v>
      </c>
      <c r="F33" s="47">
        <f t="shared" si="2"/>
        <v>619</v>
      </c>
      <c r="G33" s="67">
        <f t="shared" si="3"/>
        <v>10.8757</v>
      </c>
      <c r="H33" s="76"/>
      <c r="I33" s="77"/>
    </row>
    <row r="34" spans="2:9" x14ac:dyDescent="0.2">
      <c r="B34" s="2" t="s">
        <v>11</v>
      </c>
      <c r="C34" s="69">
        <v>4.6743E-2</v>
      </c>
      <c r="D34" s="69">
        <v>1.6199999999999999E-2</v>
      </c>
      <c r="E34" s="7">
        <f t="shared" si="1"/>
        <v>31</v>
      </c>
      <c r="F34" s="64">
        <f t="shared" si="2"/>
        <v>900</v>
      </c>
      <c r="G34" s="67">
        <f t="shared" si="3"/>
        <v>16.029</v>
      </c>
      <c r="H34" s="76"/>
      <c r="I34" s="77"/>
    </row>
    <row r="35" spans="2:9" x14ac:dyDescent="0.2">
      <c r="E35" s="8">
        <f>SUM(E23:E34)</f>
        <v>365</v>
      </c>
      <c r="F35" s="65">
        <f>SUM(F23:F34)</f>
        <v>5370</v>
      </c>
      <c r="G35" s="72">
        <f>SUM(G23:G34)</f>
        <v>103.02599999999998</v>
      </c>
      <c r="H35" s="76"/>
      <c r="I35" s="77"/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35"/>
  <sheetViews>
    <sheetView workbookViewId="0">
      <selection activeCell="G18" sqref="G18"/>
    </sheetView>
  </sheetViews>
  <sheetFormatPr defaultColWidth="9.33203125" defaultRowHeight="12.75" x14ac:dyDescent="0.2"/>
  <cols>
    <col min="1" max="2" width="9.33203125" style="2"/>
    <col min="3" max="3" width="9.1640625" style="2" customWidth="1"/>
    <col min="4" max="4" width="8.33203125" style="2" bestFit="1" customWidth="1"/>
    <col min="5" max="5" width="5.83203125" style="61" bestFit="1" customWidth="1"/>
    <col min="6" max="6" width="8.1640625" style="47" bestFit="1" customWidth="1"/>
    <col min="7" max="7" width="14.1640625" style="67" bestFit="1" customWidth="1"/>
    <col min="8" max="9" width="10.83203125" style="2" customWidth="1"/>
    <col min="10" max="16384" width="9.33203125" style="2"/>
  </cols>
  <sheetData>
    <row r="1" spans="1:9" ht="18" x14ac:dyDescent="0.25">
      <c r="A1" s="66" t="s">
        <v>31</v>
      </c>
    </row>
    <row r="2" spans="1:9" ht="18" x14ac:dyDescent="0.25">
      <c r="A2" s="66" t="s">
        <v>22</v>
      </c>
    </row>
    <row r="4" spans="1:9" ht="51" x14ac:dyDescent="0.2">
      <c r="C4" s="5"/>
      <c r="D4" s="5"/>
      <c r="E4" s="5"/>
      <c r="F4" s="42" t="s">
        <v>34</v>
      </c>
      <c r="G4" s="68" t="s">
        <v>51</v>
      </c>
    </row>
    <row r="5" spans="1:9" x14ac:dyDescent="0.2">
      <c r="C5" s="5" t="s">
        <v>15</v>
      </c>
      <c r="D5" s="5" t="s">
        <v>16</v>
      </c>
      <c r="E5" s="5" t="s">
        <v>17</v>
      </c>
      <c r="F5" s="47" t="s">
        <v>18</v>
      </c>
      <c r="G5" s="67" t="s">
        <v>19</v>
      </c>
    </row>
    <row r="6" spans="1:9" x14ac:dyDescent="0.2">
      <c r="B6" s="2" t="s">
        <v>0</v>
      </c>
      <c r="C6" s="69">
        <v>0.146421</v>
      </c>
      <c r="D6" s="69">
        <v>4.8899999999999999E-2</v>
      </c>
      <c r="E6" s="7">
        <v>31</v>
      </c>
      <c r="F6" s="47">
        <f>'Weather normal west'!B36</f>
        <v>1105</v>
      </c>
      <c r="G6" s="67">
        <f t="shared" ref="G6:G17" si="0">ROUND(+C6*E6+F6*D6,4)</f>
        <v>58.573599999999999</v>
      </c>
      <c r="I6" s="70"/>
    </row>
    <row r="7" spans="1:9" x14ac:dyDescent="0.2">
      <c r="B7" s="2" t="s">
        <v>1</v>
      </c>
      <c r="C7" s="69">
        <v>0.14780199999999999</v>
      </c>
      <c r="D7" s="69">
        <v>4.8899999999999999E-2</v>
      </c>
      <c r="E7" s="7">
        <v>28</v>
      </c>
      <c r="F7" s="47">
        <f>'Weather normal west'!C36</f>
        <v>995.32142857142856</v>
      </c>
      <c r="G7" s="67">
        <f t="shared" si="0"/>
        <v>52.809699999999999</v>
      </c>
      <c r="I7" s="71"/>
    </row>
    <row r="8" spans="1:9" x14ac:dyDescent="0.2">
      <c r="B8" s="2" t="s">
        <v>2</v>
      </c>
      <c r="C8" s="69">
        <v>0.14551800000000001</v>
      </c>
      <c r="D8" s="69">
        <v>4.6899999999999997E-2</v>
      </c>
      <c r="E8" s="7">
        <v>31</v>
      </c>
      <c r="F8" s="47">
        <f>'Weather normal west'!D36</f>
        <v>724</v>
      </c>
      <c r="G8" s="67">
        <f t="shared" si="0"/>
        <v>38.466700000000003</v>
      </c>
    </row>
    <row r="9" spans="1:9" x14ac:dyDescent="0.2">
      <c r="B9" s="2" t="s">
        <v>3</v>
      </c>
      <c r="C9" s="69">
        <v>0.14497299999999999</v>
      </c>
      <c r="D9" s="69">
        <v>4.2099999999999999E-2</v>
      </c>
      <c r="E9" s="7">
        <v>30</v>
      </c>
      <c r="F9" s="47">
        <f>'Weather normal west'!E36</f>
        <v>415</v>
      </c>
      <c r="G9" s="67">
        <f t="shared" si="0"/>
        <v>21.820699999999999</v>
      </c>
    </row>
    <row r="10" spans="1:9" x14ac:dyDescent="0.2">
      <c r="B10" s="2" t="s">
        <v>4</v>
      </c>
      <c r="C10" s="69">
        <v>0.13917099999999999</v>
      </c>
      <c r="D10" s="69">
        <v>3.8399999999999997E-2</v>
      </c>
      <c r="E10" s="7">
        <v>31</v>
      </c>
      <c r="F10" s="47">
        <f>'Weather normal west'!F36</f>
        <v>167</v>
      </c>
      <c r="G10" s="67">
        <f t="shared" si="0"/>
        <v>10.7271</v>
      </c>
    </row>
    <row r="11" spans="1:9" x14ac:dyDescent="0.2">
      <c r="B11" s="2" t="s">
        <v>5</v>
      </c>
      <c r="C11" s="69">
        <v>0.19692699999999999</v>
      </c>
      <c r="D11" s="69">
        <v>0</v>
      </c>
      <c r="E11" s="7">
        <v>30</v>
      </c>
      <c r="F11" s="47">
        <f>'Weather normal west'!G36</f>
        <v>18</v>
      </c>
      <c r="G11" s="67">
        <f t="shared" si="0"/>
        <v>5.9077999999999999</v>
      </c>
    </row>
    <row r="12" spans="1:9" x14ac:dyDescent="0.2">
      <c r="B12" s="2" t="s">
        <v>6</v>
      </c>
      <c r="C12" s="69">
        <v>0.19692699999999999</v>
      </c>
      <c r="D12" s="69">
        <v>0</v>
      </c>
      <c r="E12" s="7">
        <v>31</v>
      </c>
      <c r="F12" s="47">
        <f>'Weather normal west'!H36</f>
        <v>2</v>
      </c>
      <c r="G12" s="67">
        <f t="shared" si="0"/>
        <v>6.1047000000000002</v>
      </c>
    </row>
    <row r="13" spans="1:9" x14ac:dyDescent="0.2">
      <c r="B13" s="2" t="s">
        <v>7</v>
      </c>
      <c r="C13" s="69">
        <v>0.20169000000000001</v>
      </c>
      <c r="D13" s="69">
        <v>0</v>
      </c>
      <c r="E13" s="7">
        <v>31</v>
      </c>
      <c r="F13" s="47">
        <f>'Weather normal west'!I36</f>
        <v>5</v>
      </c>
      <c r="G13" s="67">
        <f t="shared" si="0"/>
        <v>6.2523999999999997</v>
      </c>
    </row>
    <row r="14" spans="1:9" x14ac:dyDescent="0.2">
      <c r="B14" s="2" t="s">
        <v>8</v>
      </c>
      <c r="C14" s="69">
        <v>0.17533399999999999</v>
      </c>
      <c r="D14" s="69">
        <v>3.3599999999999998E-2</v>
      </c>
      <c r="E14" s="7">
        <v>30</v>
      </c>
      <c r="F14" s="47">
        <f>'Weather normal west'!J36</f>
        <v>63</v>
      </c>
      <c r="G14" s="67">
        <f t="shared" si="0"/>
        <v>7.3768000000000002</v>
      </c>
    </row>
    <row r="15" spans="1:9" x14ac:dyDescent="0.2">
      <c r="B15" s="2" t="s">
        <v>9</v>
      </c>
      <c r="C15" s="69">
        <v>0.206042</v>
      </c>
      <c r="D15" s="69">
        <v>3.3599999999999998E-2</v>
      </c>
      <c r="E15" s="7">
        <v>31</v>
      </c>
      <c r="F15" s="47">
        <f>'Weather normal west'!K36</f>
        <v>307</v>
      </c>
      <c r="G15" s="67">
        <f t="shared" si="0"/>
        <v>16.702500000000001</v>
      </c>
    </row>
    <row r="16" spans="1:9" x14ac:dyDescent="0.2">
      <c r="B16" s="2" t="s">
        <v>10</v>
      </c>
      <c r="C16" s="69">
        <v>0.16819100000000001</v>
      </c>
      <c r="D16" s="69">
        <v>4.3900000000000002E-2</v>
      </c>
      <c r="E16" s="7">
        <v>30</v>
      </c>
      <c r="F16" s="47">
        <f>'Weather normal west'!L36</f>
        <v>625</v>
      </c>
      <c r="G16" s="67">
        <f t="shared" si="0"/>
        <v>32.483199999999997</v>
      </c>
    </row>
    <row r="17" spans="1:9" x14ac:dyDescent="0.2">
      <c r="B17" s="2" t="s">
        <v>11</v>
      </c>
      <c r="C17" s="69">
        <v>0.152839</v>
      </c>
      <c r="D17" s="69">
        <v>4.3700000000000003E-2</v>
      </c>
      <c r="E17" s="7">
        <v>31</v>
      </c>
      <c r="F17" s="56">
        <f>'Weather normal west'!M36</f>
        <v>928</v>
      </c>
      <c r="G17" s="67">
        <f t="shared" si="0"/>
        <v>45.291600000000003</v>
      </c>
    </row>
    <row r="18" spans="1:9" x14ac:dyDescent="0.2">
      <c r="E18" s="8">
        <f>SUM(E6:E17)</f>
        <v>365</v>
      </c>
      <c r="F18" s="47">
        <f>SUM(F6:F17)</f>
        <v>5354.3214285714284</v>
      </c>
      <c r="G18" s="72">
        <f>SUM(G6:G17)</f>
        <v>302.51680000000005</v>
      </c>
    </row>
    <row r="19" spans="1:9" ht="18" x14ac:dyDescent="0.25">
      <c r="A19" s="66" t="s">
        <v>20</v>
      </c>
      <c r="E19" s="7"/>
    </row>
    <row r="20" spans="1:9" x14ac:dyDescent="0.2">
      <c r="E20" s="7"/>
    </row>
    <row r="21" spans="1:9" x14ac:dyDescent="0.2">
      <c r="C21" s="5"/>
      <c r="D21" s="5"/>
      <c r="E21" s="5"/>
    </row>
    <row r="22" spans="1:9" x14ac:dyDescent="0.2">
      <c r="C22" s="5" t="s">
        <v>15</v>
      </c>
      <c r="D22" s="5" t="s">
        <v>16</v>
      </c>
      <c r="E22" s="5" t="s">
        <v>17</v>
      </c>
      <c r="F22" s="47" t="s">
        <v>18</v>
      </c>
      <c r="G22" s="67" t="s">
        <v>19</v>
      </c>
      <c r="I22" s="70"/>
    </row>
    <row r="23" spans="1:9" x14ac:dyDescent="0.2">
      <c r="B23" s="2" t="s">
        <v>0</v>
      </c>
      <c r="C23" s="69">
        <v>2.5395999999999998E-2</v>
      </c>
      <c r="D23" s="69">
        <v>1.4800000000000001E-2</v>
      </c>
      <c r="E23" s="7">
        <f>E6</f>
        <v>31</v>
      </c>
      <c r="F23" s="47">
        <f>F6</f>
        <v>1105</v>
      </c>
      <c r="G23" s="67">
        <f t="shared" ref="G23:G34" si="1">ROUND(+C23*E23+F23*D23,4)</f>
        <v>17.141300000000001</v>
      </c>
      <c r="I23" s="70"/>
    </row>
    <row r="24" spans="1:9" x14ac:dyDescent="0.2">
      <c r="B24" s="2" t="s">
        <v>1</v>
      </c>
      <c r="C24" s="69">
        <v>2.5593999999999999E-2</v>
      </c>
      <c r="D24" s="69">
        <v>1.49E-2</v>
      </c>
      <c r="E24" s="7">
        <f t="shared" ref="E24:E34" si="2">E7</f>
        <v>28</v>
      </c>
      <c r="F24" s="47">
        <f t="shared" ref="F24:F34" si="3">F7</f>
        <v>995.32142857142856</v>
      </c>
      <c r="G24" s="67">
        <f t="shared" si="1"/>
        <v>15.546900000000001</v>
      </c>
      <c r="I24" s="71"/>
    </row>
    <row r="25" spans="1:9" x14ac:dyDescent="0.2">
      <c r="B25" s="2" t="s">
        <v>2</v>
      </c>
      <c r="C25" s="69">
        <v>2.5707000000000001E-2</v>
      </c>
      <c r="D25" s="69">
        <v>1.46E-2</v>
      </c>
      <c r="E25" s="7">
        <f t="shared" si="2"/>
        <v>31</v>
      </c>
      <c r="F25" s="47">
        <f t="shared" si="3"/>
        <v>724</v>
      </c>
      <c r="G25" s="67">
        <f t="shared" si="1"/>
        <v>11.3673</v>
      </c>
      <c r="I25" s="7"/>
    </row>
    <row r="26" spans="1:9" x14ac:dyDescent="0.2">
      <c r="B26" s="2" t="s">
        <v>3</v>
      </c>
      <c r="C26" s="69">
        <v>2.5548999999999999E-2</v>
      </c>
      <c r="D26" s="69">
        <v>1.4500000000000001E-2</v>
      </c>
      <c r="E26" s="7">
        <f t="shared" si="2"/>
        <v>30</v>
      </c>
      <c r="F26" s="47">
        <f t="shared" si="3"/>
        <v>415</v>
      </c>
      <c r="G26" s="67">
        <f t="shared" si="1"/>
        <v>6.7839999999999998</v>
      </c>
      <c r="I26" s="7"/>
    </row>
    <row r="27" spans="1:9" x14ac:dyDescent="0.2">
      <c r="B27" s="2" t="s">
        <v>4</v>
      </c>
      <c r="C27" s="69">
        <v>2.5354999999999999E-2</v>
      </c>
      <c r="D27" s="69">
        <v>1.35E-2</v>
      </c>
      <c r="E27" s="7">
        <f t="shared" si="2"/>
        <v>31</v>
      </c>
      <c r="F27" s="47">
        <f t="shared" si="3"/>
        <v>167</v>
      </c>
      <c r="G27" s="67">
        <f t="shared" si="1"/>
        <v>3.0405000000000002</v>
      </c>
      <c r="I27" s="7"/>
    </row>
    <row r="28" spans="1:9" x14ac:dyDescent="0.2">
      <c r="B28" s="2" t="s">
        <v>5</v>
      </c>
      <c r="C28" s="69">
        <v>2.8929E-2</v>
      </c>
      <c r="D28" s="69">
        <v>0</v>
      </c>
      <c r="E28" s="7">
        <f t="shared" si="2"/>
        <v>30</v>
      </c>
      <c r="F28" s="47">
        <f t="shared" si="3"/>
        <v>18</v>
      </c>
      <c r="G28" s="67">
        <f t="shared" si="1"/>
        <v>0.8679</v>
      </c>
      <c r="I28" s="7"/>
    </row>
    <row r="29" spans="1:9" x14ac:dyDescent="0.2">
      <c r="B29" s="2" t="s">
        <v>6</v>
      </c>
      <c r="C29" s="69">
        <v>2.8929E-2</v>
      </c>
      <c r="D29" s="69">
        <v>0</v>
      </c>
      <c r="E29" s="7">
        <f t="shared" si="2"/>
        <v>31</v>
      </c>
      <c r="F29" s="47">
        <f t="shared" si="3"/>
        <v>2</v>
      </c>
      <c r="G29" s="67">
        <f t="shared" si="1"/>
        <v>0.89680000000000004</v>
      </c>
      <c r="I29" s="7"/>
    </row>
    <row r="30" spans="1:9" x14ac:dyDescent="0.2">
      <c r="B30" s="2" t="s">
        <v>7</v>
      </c>
      <c r="C30" s="69">
        <v>2.726E-2</v>
      </c>
      <c r="D30" s="69">
        <v>0</v>
      </c>
      <c r="E30" s="7">
        <f t="shared" si="2"/>
        <v>31</v>
      </c>
      <c r="F30" s="47">
        <f t="shared" si="3"/>
        <v>5</v>
      </c>
      <c r="G30" s="67">
        <f t="shared" si="1"/>
        <v>0.84509999999999996</v>
      </c>
      <c r="I30" s="7"/>
    </row>
    <row r="31" spans="1:9" x14ac:dyDescent="0.2">
      <c r="B31" s="2" t="s">
        <v>8</v>
      </c>
      <c r="C31" s="69">
        <v>2.0195000000000001E-2</v>
      </c>
      <c r="D31" s="69">
        <v>8.9999999999999993E-3</v>
      </c>
      <c r="E31" s="7">
        <f t="shared" si="2"/>
        <v>30</v>
      </c>
      <c r="F31" s="47">
        <f t="shared" si="3"/>
        <v>63</v>
      </c>
      <c r="G31" s="67">
        <f t="shared" si="1"/>
        <v>1.1729000000000001</v>
      </c>
      <c r="I31" s="7"/>
    </row>
    <row r="32" spans="1:9" x14ac:dyDescent="0.2">
      <c r="B32" s="2" t="s">
        <v>9</v>
      </c>
      <c r="C32" s="69">
        <v>2.5836999999999999E-2</v>
      </c>
      <c r="D32" s="69">
        <v>8.9999999999999993E-3</v>
      </c>
      <c r="E32" s="7">
        <f t="shared" si="2"/>
        <v>31</v>
      </c>
      <c r="F32" s="47">
        <f t="shared" si="3"/>
        <v>307</v>
      </c>
      <c r="G32" s="67">
        <f t="shared" si="1"/>
        <v>3.5638999999999998</v>
      </c>
      <c r="I32" s="7"/>
    </row>
    <row r="33" spans="2:9" x14ac:dyDescent="0.2">
      <c r="B33" s="2" t="s">
        <v>10</v>
      </c>
      <c r="C33" s="69">
        <v>2.6394999999999998E-2</v>
      </c>
      <c r="D33" s="69">
        <v>1.24E-2</v>
      </c>
      <c r="E33" s="7">
        <f t="shared" si="2"/>
        <v>30</v>
      </c>
      <c r="F33" s="47">
        <f t="shared" si="3"/>
        <v>625</v>
      </c>
      <c r="G33" s="67">
        <f t="shared" si="1"/>
        <v>8.5419</v>
      </c>
      <c r="I33" s="7"/>
    </row>
    <row r="34" spans="2:9" x14ac:dyDescent="0.2">
      <c r="B34" s="2" t="s">
        <v>11</v>
      </c>
      <c r="C34" s="69">
        <v>2.5946E-2</v>
      </c>
      <c r="D34" s="69">
        <v>1.3899999999999999E-2</v>
      </c>
      <c r="E34" s="7">
        <f t="shared" si="2"/>
        <v>31</v>
      </c>
      <c r="F34" s="56">
        <f t="shared" si="3"/>
        <v>928</v>
      </c>
      <c r="G34" s="67">
        <f t="shared" si="1"/>
        <v>13.7035</v>
      </c>
      <c r="I34" s="7"/>
    </row>
    <row r="35" spans="2:9" x14ac:dyDescent="0.2">
      <c r="E35" s="8">
        <f>SUM(E23:E34)</f>
        <v>365</v>
      </c>
      <c r="F35" s="47">
        <f>SUM(F23:F34)</f>
        <v>5354.3214285714284</v>
      </c>
      <c r="G35" s="72">
        <f>SUM(G23:G34)</f>
        <v>83.472000000000008</v>
      </c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Y D A A B Q S w M E F A A C A A g A 8 V B p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8 V B p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Q a V F V l F O 1 z Q A A A P s A A A A T A B w A R m 9 y b X V s Y X M v U 2 V j d G l v b j E u b S C i G A A o o B Q A A A A A A A A A A A A A A A A A A A A A A A A A A A B N j 0 F r w k A Q h e + B / I c h X h K o 4 g Z S p O J B 1 7 U W x E C y F 2 E v a 1 x 0 Y T M L 2 Q m 0 l P 7 3 b h W h c / g G H m + G 9 4 L p y H q E 9 r H Z M k 3 S J N z 0 Y C 4 w y e q O g C 0 y W I E z l C Y Q p / X j 0 J m o S H 1 2 Z r Y b f M + 9 G 3 s M + f f B o g l 3 a W N R D 1 / 5 z k Y L 9 0 g G K e R Z + 6 a q S u 6 h l Y 0 Q E r g 4 S t G o S m 0 1 a a a 2 o g Z x F M 3 7 C f i + / u B C l f N y P o 1 g s B 7 v 8 d S a S H e 3 P r 6 D V 9 h Y 5 y x e 4 e 9 c P a L O 6 J O y 4 g V w d O 5 J V l Z l 8 V O k i c X / F Z a / U E s B A i 0 A F A A C A A g A 8 V B p U f 6 M o K K n A A A A + A A A A B I A A A A A A A A A A A A A A A A A A A A A A E N v b m Z p Z y 9 Q Y W N r Y W d l L n h t b F B L A Q I t A B Q A A g A I A P F Q a V E P y u m r p A A A A O k A A A A T A A A A A A A A A A A A A A A A A P M A A A B b Q 2 9 u d G V u d F 9 U e X B l c 1 0 u e G 1 s U E s B A i 0 A F A A C A A g A 8 V B p U V W U U 7 X N A A A A + w A A A B M A A A A A A A A A A A A A A A A A 5 A E A A E Z v c m 1 1 b G F z L 1 N l Y 3 R p b 2 4 x L m 1 Q S w U G A A A A A A M A A w D C A A A A /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w Y A A A A A A A D N B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j d C U y M D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y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S 0 w O V Q x N T o w N D o y N C 4 5 M j Q 3 N T E z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9 j d C A x O C 9 T b 3 V y Y 2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T 2 N 0 I D E 4 L 1 N v d X J j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2 N 0 J T I w M T g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C z j A m n g b V D o Q u W F / K v Y Q Q A A A A A A g A A A A A A A 2 Y A A M A A A A A Q A A A A K q w J B X J + Y e n E o R A N g O m o l Q A A A A A E g A A A o A A A A B A A A A D R Y T 0 H h w F y G d J 8 B h F x i H 7 E U A A A A G n L c l 4 C + E D Y c a 7 f L V + Q p U 0 I V 5 O e c x E w 4 H s M Y f R 8 s i I I U r s o D 3 p 2 4 a 2 e T 2 4 w S j W g j V k x Z s a c n 3 b d U q 1 k N A R Y W 1 Q 7 H G s y 2 k V n N 0 R Q x 6 0 T 0 Z 0 p F A A A A K 7 S z R 7 1 W 6 Y E i l p d H b 0 9 x S c q c n / 9 < / D a t a M a s h u p > 
</file>

<file path=customXml/itemProps1.xml><?xml version="1.0" encoding="utf-8"?>
<ds:datastoreItem xmlns:ds="http://schemas.openxmlformats.org/officeDocument/2006/customXml" ds:itemID="{715F9AAD-50CE-4E1C-98A0-FEB5830EBF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SSO historical customer count</vt:lpstr>
      <vt:lpstr>SCO historical customer count</vt:lpstr>
      <vt:lpstr>Weather normal east</vt:lpstr>
      <vt:lpstr>Weather normal west</vt:lpstr>
      <vt:lpstr>SCO factors - east Ohio</vt:lpstr>
      <vt:lpstr>SCO factors - west Ohio</vt:lpstr>
      <vt:lpstr>SSO factors - east Ohio</vt:lpstr>
      <vt:lpstr>SSO factors - west Ohio</vt:lpstr>
      <vt:lpstr>'Weather normal east'!Print_Area</vt:lpstr>
      <vt:lpstr>'Weather normal west'!Print_Area</vt:lpstr>
    </vt:vector>
  </TitlesOfParts>
  <Company>Dominion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Dominion</dc:creator>
  <cp:lastModifiedBy>Laura E Whitkofski (Enbridge Ohio - 5)</cp:lastModifiedBy>
  <cp:lastPrinted>2010-08-26T19:33:33Z</cp:lastPrinted>
  <dcterms:created xsi:type="dcterms:W3CDTF">2006-03-29T13:36:34Z</dcterms:created>
  <dcterms:modified xsi:type="dcterms:W3CDTF">2024-12-05T17:01:02Z</dcterms:modified>
</cp:coreProperties>
</file>